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Q:\Aleshia\Spring 2022 solutions\"/>
    </mc:Choice>
  </mc:AlternateContent>
  <xr:revisionPtr revIDLastSave="0" documentId="8_{DDEDDEA1-B9EC-4EB5-BA3D-9E0D5896B62D}" xr6:coauthVersionLast="47" xr6:coauthVersionMax="47" xr10:uidLastSave="{00000000-0000-0000-0000-000000000000}"/>
  <bookViews>
    <workbookView xWindow="28680" yWindow="-120" windowWidth="29040" windowHeight="15840" tabRatio="784" xr2:uid="{00000000-000D-0000-FFFF-FFFF00000000}"/>
  </bookViews>
  <sheets>
    <sheet name="Question1" sheetId="37" r:id="rId1"/>
    <sheet name="Question2" sheetId="39" r:id="rId2"/>
    <sheet name="Question3" sheetId="40" r:id="rId3"/>
    <sheet name="Question4" sheetId="41" r:id="rId4"/>
    <sheet name="Question5" sheetId="42" r:id="rId5"/>
    <sheet name="Question6" sheetId="43" r:id="rId6"/>
    <sheet name="Question7" sheetId="44" r:id="rId7"/>
    <sheet name="Question8" sheetId="45" r:id="rId8"/>
    <sheet name="Question9" sheetId="46" r:id="rId9"/>
    <sheet name="Question10" sheetId="48" r:id="rId10"/>
    <sheet name="Question11" sheetId="49" r:id="rId11"/>
    <sheet name="Question12" sheetId="50" r:id="rId12"/>
    <sheet name="Question13" sheetId="51" r:id="rId13"/>
    <sheet name="Question14" sheetId="52" r:id="rId14"/>
    <sheet name="Question15" sheetId="53" r:id="rId15"/>
    <sheet name="Question16" sheetId="54" r:id="rId16"/>
    <sheet name="Question17" sheetId="55" r:id="rId17"/>
    <sheet name="Question18" sheetId="56" r:id="rId18"/>
    <sheet name="Question19" sheetId="57" r:id="rId19"/>
  </sheets>
  <definedNames>
    <definedName name="_Hlk95996120" localSheetId="8">Question9!$B$6</definedName>
    <definedName name="_Hlk96002139" localSheetId="8">Question9!$B$41</definedName>
    <definedName name="OLE_LINK11" localSheetId="1">Question2!$B$73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4" i="37" l="1"/>
  <c r="B43" i="37"/>
  <c r="B42" i="37"/>
  <c r="B41" i="37"/>
  <c r="C44" i="37"/>
  <c r="C43" i="37"/>
  <c r="C42" i="37"/>
  <c r="C41" i="37"/>
  <c r="F34" i="57"/>
  <c r="F23" i="57"/>
  <c r="F20" i="57"/>
  <c r="G59" i="55"/>
  <c r="B38" i="55" l="1"/>
  <c r="B37" i="55"/>
  <c r="B36" i="55"/>
  <c r="B35" i="55"/>
  <c r="B34" i="55"/>
  <c r="B33" i="55"/>
  <c r="B32" i="55"/>
  <c r="E38" i="55"/>
  <c r="D38" i="55"/>
  <c r="C38" i="55"/>
  <c r="F62" i="55" s="1"/>
  <c r="E37" i="55"/>
  <c r="D37" i="55"/>
  <c r="J37" i="55" s="1"/>
  <c r="C37" i="55"/>
  <c r="E36" i="55"/>
  <c r="D36" i="55"/>
  <c r="C36" i="55"/>
  <c r="E35" i="55"/>
  <c r="D35" i="55"/>
  <c r="J35" i="55" s="1"/>
  <c r="C35" i="55"/>
  <c r="E34" i="55"/>
  <c r="D34" i="55"/>
  <c r="C34" i="55"/>
  <c r="E33" i="55"/>
  <c r="D33" i="55"/>
  <c r="J33" i="55" s="1"/>
  <c r="C33" i="55"/>
  <c r="E32" i="55"/>
  <c r="D32" i="55"/>
  <c r="J32" i="55" s="1"/>
  <c r="C32" i="55"/>
  <c r="I35" i="55" l="1"/>
  <c r="I33" i="55"/>
  <c r="I38" i="55"/>
  <c r="E39" i="55"/>
  <c r="D39" i="55"/>
  <c r="I37" i="55"/>
  <c r="I36" i="55"/>
  <c r="I34" i="55"/>
  <c r="C39" i="55"/>
  <c r="I32" i="55"/>
  <c r="H56" i="54"/>
  <c r="H54" i="54"/>
  <c r="H55" i="54" s="1"/>
  <c r="F51" i="54"/>
  <c r="F52" i="54" s="1"/>
  <c r="B28" i="54"/>
  <c r="B27" i="54"/>
  <c r="I39" i="55" l="1"/>
  <c r="F34" i="55"/>
  <c r="F35" i="55"/>
  <c r="F36" i="55"/>
  <c r="F37" i="55"/>
  <c r="F38" i="55"/>
  <c r="F63" i="55" s="1"/>
  <c r="F32" i="55"/>
  <c r="F33" i="55"/>
  <c r="H57" i="54"/>
  <c r="H58" i="54" s="1"/>
  <c r="G32" i="55" l="1"/>
  <c r="H32" i="55" s="1"/>
  <c r="G38" i="55"/>
  <c r="H38" i="55" s="1"/>
  <c r="G37" i="55"/>
  <c r="H37" i="55" s="1"/>
  <c r="K37" i="55" s="1"/>
  <c r="G36" i="55"/>
  <c r="H36" i="55" s="1"/>
  <c r="G35" i="55"/>
  <c r="H35" i="55" s="1"/>
  <c r="K35" i="55" s="1"/>
  <c r="G33" i="55"/>
  <c r="H33" i="55" s="1"/>
  <c r="K33" i="55" s="1"/>
  <c r="G34" i="55"/>
  <c r="H34" i="55" s="1"/>
  <c r="H60" i="54"/>
  <c r="H61" i="54" s="1"/>
  <c r="K34" i="55" l="1"/>
  <c r="J34" i="55"/>
  <c r="K36" i="55"/>
  <c r="J36" i="55"/>
  <c r="K38" i="55"/>
  <c r="J38" i="55"/>
  <c r="K32" i="55"/>
  <c r="H39" i="55"/>
  <c r="K39" i="55" s="1"/>
  <c r="G58" i="55" l="1"/>
  <c r="G60" i="55" s="1"/>
  <c r="F64" i="55" s="1"/>
  <c r="J39" i="55"/>
  <c r="D44" i="53" l="1"/>
  <c r="D38" i="53"/>
  <c r="F91" i="53"/>
  <c r="F90" i="53" s="1"/>
  <c r="F89" i="53" s="1"/>
  <c r="F88" i="53" s="1"/>
  <c r="F87" i="53" s="1"/>
  <c r="F86" i="53" s="1"/>
  <c r="F85" i="53" s="1"/>
  <c r="F84" i="53" s="1"/>
  <c r="B91" i="53"/>
  <c r="B90" i="53" s="1"/>
  <c r="B89" i="53" s="1"/>
  <c r="B88" i="53" s="1"/>
  <c r="B87" i="53" s="1"/>
  <c r="B86" i="53" s="1"/>
  <c r="B85" i="53" s="1"/>
  <c r="B84" i="53" s="1"/>
  <c r="B75" i="53"/>
  <c r="B74" i="53" s="1"/>
  <c r="B73" i="53" s="1"/>
  <c r="B72" i="53" s="1"/>
  <c r="B71" i="53" s="1"/>
  <c r="B70" i="53" s="1"/>
  <c r="B69" i="53" s="1"/>
  <c r="B68" i="53" s="1"/>
  <c r="F55" i="53"/>
  <c r="F54" i="53" s="1"/>
  <c r="F53" i="53" s="1"/>
  <c r="F52" i="53" s="1"/>
  <c r="F51" i="53" s="1"/>
  <c r="F50" i="53" s="1"/>
  <c r="F49" i="53" s="1"/>
  <c r="F48" i="53" s="1"/>
  <c r="E56" i="53"/>
  <c r="G56" i="53" s="1"/>
  <c r="D92" i="53" s="1"/>
  <c r="E55" i="53"/>
  <c r="B55" i="53"/>
  <c r="E54" i="53"/>
  <c r="E53" i="53"/>
  <c r="E52" i="53"/>
  <c r="E51" i="53"/>
  <c r="E50" i="53"/>
  <c r="E49" i="53"/>
  <c r="E48" i="53"/>
  <c r="G44" i="53"/>
  <c r="C56" i="53" s="1"/>
  <c r="D76" i="53" s="1"/>
  <c r="E40" i="53"/>
  <c r="C44" i="53"/>
  <c r="G43" i="53"/>
  <c r="C55" i="53" s="1"/>
  <c r="D75" i="53" s="1"/>
  <c r="C43" i="53"/>
  <c r="B43" i="53"/>
  <c r="B42" i="53" s="1"/>
  <c r="B41" i="53" s="1"/>
  <c r="B40" i="53" s="1"/>
  <c r="B39" i="53" s="1"/>
  <c r="B38" i="53" s="1"/>
  <c r="B37" i="53" s="1"/>
  <c r="B36" i="53" s="1"/>
  <c r="G42" i="53"/>
  <c r="C54" i="53" s="1"/>
  <c r="D74" i="53" s="1"/>
  <c r="C42" i="53"/>
  <c r="G41" i="53"/>
  <c r="C53" i="53" s="1"/>
  <c r="D73" i="53" s="1"/>
  <c r="C41" i="53"/>
  <c r="G40" i="53"/>
  <c r="C52" i="53" s="1"/>
  <c r="D72" i="53" s="1"/>
  <c r="C40" i="53"/>
  <c r="G39" i="53"/>
  <c r="C51" i="53" s="1"/>
  <c r="D71" i="53" s="1"/>
  <c r="C39" i="53"/>
  <c r="G38" i="53"/>
  <c r="C50" i="53" s="1"/>
  <c r="D70" i="53" s="1"/>
  <c r="C38" i="53"/>
  <c r="G37" i="53"/>
  <c r="C49" i="53" s="1"/>
  <c r="D69" i="53" s="1"/>
  <c r="C37" i="53"/>
  <c r="G36" i="53"/>
  <c r="C48" i="53" s="1"/>
  <c r="D68" i="53" s="1"/>
  <c r="C36" i="53"/>
  <c r="C35" i="53"/>
  <c r="F40" i="53" l="1"/>
  <c r="D52" i="53" s="1"/>
  <c r="C88" i="53" s="1"/>
  <c r="C45" i="53"/>
  <c r="E42" i="53"/>
  <c r="F42" i="53"/>
  <c r="D54" i="53" s="1"/>
  <c r="C90" i="53" s="1"/>
  <c r="E36" i="53"/>
  <c r="F36" i="53" s="1"/>
  <c r="E39" i="53"/>
  <c r="F39" i="53" s="1"/>
  <c r="D51" i="53" s="1"/>
  <c r="C87" i="53" s="1"/>
  <c r="E57" i="53"/>
  <c r="G55" i="53"/>
  <c r="D91" i="53" s="1"/>
  <c r="E44" i="53"/>
  <c r="F44" i="53" s="1"/>
  <c r="D56" i="53" s="1"/>
  <c r="C92" i="53" s="1"/>
  <c r="E92" i="53" s="1"/>
  <c r="E41" i="53"/>
  <c r="F41" i="53" s="1"/>
  <c r="D53" i="53" s="1"/>
  <c r="C89" i="53" s="1"/>
  <c r="B54" i="53"/>
  <c r="E38" i="53"/>
  <c r="F38" i="53" s="1"/>
  <c r="D50" i="53" s="1"/>
  <c r="C86" i="53" s="1"/>
  <c r="E43" i="53"/>
  <c r="F43" i="53" s="1"/>
  <c r="D55" i="53" s="1"/>
  <c r="C91" i="53" s="1"/>
  <c r="E37" i="53"/>
  <c r="F37" i="53" s="1"/>
  <c r="D49" i="53" s="1"/>
  <c r="C85" i="53" s="1"/>
  <c r="E75" i="52"/>
  <c r="E72" i="52"/>
  <c r="E76" i="52" s="1"/>
  <c r="D71" i="52"/>
  <c r="D75" i="52" s="1"/>
  <c r="E91" i="53" l="1"/>
  <c r="B53" i="53"/>
  <c r="G54" i="53"/>
  <c r="D90" i="53" s="1"/>
  <c r="E90" i="53" s="1"/>
  <c r="F45" i="53"/>
  <c r="D48" i="53"/>
  <c r="F56" i="52"/>
  <c r="F57" i="52"/>
  <c r="F58" i="52"/>
  <c r="F59" i="52"/>
  <c r="F60" i="52"/>
  <c r="F55" i="52"/>
  <c r="E65" i="52"/>
  <c r="E66" i="52"/>
  <c r="D66" i="52"/>
  <c r="D64" i="52" s="1"/>
  <c r="C60" i="52"/>
  <c r="B60" i="52"/>
  <c r="C59" i="52"/>
  <c r="B59" i="52"/>
  <c r="C58" i="52"/>
  <c r="B58" i="52"/>
  <c r="C57" i="52"/>
  <c r="B57" i="52"/>
  <c r="C56" i="52"/>
  <c r="B56" i="52"/>
  <c r="C55" i="52"/>
  <c r="B55" i="52"/>
  <c r="D45" i="52"/>
  <c r="C45" i="52"/>
  <c r="D40" i="52"/>
  <c r="C40" i="52"/>
  <c r="D39" i="52"/>
  <c r="C39" i="52"/>
  <c r="D38" i="52"/>
  <c r="C38" i="52"/>
  <c r="D57" i="53" l="1"/>
  <c r="C84" i="53"/>
  <c r="C93" i="53" s="1"/>
  <c r="G53" i="53"/>
  <c r="D89" i="53" s="1"/>
  <c r="E89" i="53" s="1"/>
  <c r="B52" i="53"/>
  <c r="E38" i="52"/>
  <c r="D58" i="52"/>
  <c r="E39" i="52"/>
  <c r="H58" i="52"/>
  <c r="D57" i="52"/>
  <c r="G57" i="52" s="1"/>
  <c r="B61" i="52"/>
  <c r="C61" i="52"/>
  <c r="D61" i="52" s="1"/>
  <c r="E64" i="52"/>
  <c r="D59" i="52"/>
  <c r="D56" i="52"/>
  <c r="D60" i="52"/>
  <c r="H60" i="52" s="1"/>
  <c r="F66" i="52"/>
  <c r="C88" i="52" s="1"/>
  <c r="D55" i="52"/>
  <c r="E45" i="52"/>
  <c r="E40" i="52"/>
  <c r="E47" i="50"/>
  <c r="D47" i="50"/>
  <c r="C47" i="50"/>
  <c r="E46" i="50"/>
  <c r="D46" i="50"/>
  <c r="C46" i="50"/>
  <c r="F46" i="50" s="1"/>
  <c r="B46" i="50"/>
  <c r="B45" i="50" s="1"/>
  <c r="B44" i="50" s="1"/>
  <c r="E45" i="50"/>
  <c r="D45" i="50"/>
  <c r="C45" i="50"/>
  <c r="E44" i="50"/>
  <c r="D44" i="50"/>
  <c r="C44" i="50"/>
  <c r="D33" i="50"/>
  <c r="C33" i="50"/>
  <c r="D32" i="50"/>
  <c r="C32" i="50"/>
  <c r="B32" i="50"/>
  <c r="B31" i="50" s="1"/>
  <c r="B30" i="50" s="1"/>
  <c r="D31" i="50"/>
  <c r="C31" i="50"/>
  <c r="D30" i="50"/>
  <c r="C30" i="50"/>
  <c r="D63" i="49"/>
  <c r="E63" i="49" s="1"/>
  <c r="F63" i="49" s="1"/>
  <c r="G63" i="49" s="1"/>
  <c r="H63" i="49" s="1"/>
  <c r="H60" i="49"/>
  <c r="G60" i="49"/>
  <c r="F60" i="49"/>
  <c r="E60" i="49"/>
  <c r="E59" i="49" s="1"/>
  <c r="D60" i="49"/>
  <c r="D59" i="49" s="1"/>
  <c r="C60" i="49"/>
  <c r="C59" i="49" s="1"/>
  <c r="F59" i="49"/>
  <c r="D58" i="49"/>
  <c r="E58" i="49" s="1"/>
  <c r="F58" i="49" s="1"/>
  <c r="G58" i="49" s="1"/>
  <c r="H58" i="49" s="1"/>
  <c r="I41" i="49"/>
  <c r="C41" i="49"/>
  <c r="I40" i="49"/>
  <c r="D40" i="49"/>
  <c r="C40" i="49"/>
  <c r="C28" i="49"/>
  <c r="D27" i="49"/>
  <c r="C27" i="49"/>
  <c r="E26" i="49"/>
  <c r="D26" i="49"/>
  <c r="C26" i="49"/>
  <c r="F25" i="49"/>
  <c r="E25" i="49"/>
  <c r="D25" i="49"/>
  <c r="C25" i="49"/>
  <c r="G24" i="49"/>
  <c r="F24" i="49"/>
  <c r="E24" i="49"/>
  <c r="D24" i="49"/>
  <c r="C24" i="49"/>
  <c r="H23" i="49"/>
  <c r="H33" i="49" s="1"/>
  <c r="H36" i="49" s="1"/>
  <c r="H37" i="49" s="1"/>
  <c r="G23" i="49"/>
  <c r="F23" i="49"/>
  <c r="E23" i="49"/>
  <c r="D23" i="49"/>
  <c r="C23" i="49"/>
  <c r="D22" i="49"/>
  <c r="E22" i="49" s="1"/>
  <c r="F22" i="49" s="1"/>
  <c r="G22" i="49" s="1"/>
  <c r="H22" i="49" s="1"/>
  <c r="G52" i="53" l="1"/>
  <c r="D88" i="53" s="1"/>
  <c r="E88" i="53" s="1"/>
  <c r="B51" i="53"/>
  <c r="D88" i="52"/>
  <c r="C92" i="52"/>
  <c r="E41" i="52"/>
  <c r="H56" i="52"/>
  <c r="H61" i="52" s="1"/>
  <c r="E80" i="52" s="1"/>
  <c r="D92" i="52"/>
  <c r="G55" i="52"/>
  <c r="G59" i="52"/>
  <c r="F44" i="50"/>
  <c r="F45" i="50"/>
  <c r="E33" i="50"/>
  <c r="F47" i="50"/>
  <c r="F48" i="50" s="1"/>
  <c r="D50" i="50" s="1"/>
  <c r="D48" i="50"/>
  <c r="E48" i="50"/>
  <c r="D34" i="50"/>
  <c r="E32" i="50"/>
  <c r="C48" i="50"/>
  <c r="C34" i="50"/>
  <c r="E31" i="50"/>
  <c r="E30" i="50"/>
  <c r="G59" i="49"/>
  <c r="H59" i="49"/>
  <c r="E32" i="49"/>
  <c r="E37" i="49" s="1"/>
  <c r="F33" i="49"/>
  <c r="F36" i="49" s="1"/>
  <c r="F37" i="49" s="1"/>
  <c r="D32" i="49"/>
  <c r="D37" i="49" s="1"/>
  <c r="D41" i="49" s="1"/>
  <c r="E41" i="49" s="1"/>
  <c r="E65" i="49" s="1"/>
  <c r="C32" i="49"/>
  <c r="C37" i="49" s="1"/>
  <c r="D33" i="49"/>
  <c r="E31" i="49"/>
  <c r="E36" i="49" s="1"/>
  <c r="E40" i="49" s="1"/>
  <c r="E64" i="49" s="1"/>
  <c r="G33" i="49"/>
  <c r="G36" i="49" s="1"/>
  <c r="C33" i="49"/>
  <c r="D31" i="49"/>
  <c r="D36" i="49" s="1"/>
  <c r="E33" i="49"/>
  <c r="C31" i="49"/>
  <c r="C36" i="49" s="1"/>
  <c r="D47" i="46"/>
  <c r="D56" i="46"/>
  <c r="C56" i="46"/>
  <c r="D55" i="46"/>
  <c r="C55" i="46"/>
  <c r="D54" i="46"/>
  <c r="C54" i="46"/>
  <c r="I54" i="46" s="1"/>
  <c r="D53" i="46"/>
  <c r="C53" i="46"/>
  <c r="D52" i="46"/>
  <c r="C52" i="46"/>
  <c r="H48" i="46"/>
  <c r="G48" i="46"/>
  <c r="F53" i="46" s="1"/>
  <c r="F48" i="46"/>
  <c r="F54" i="46" s="1"/>
  <c r="E48" i="46"/>
  <c r="F55" i="46" s="1"/>
  <c r="D48" i="46"/>
  <c r="F56" i="46" s="1"/>
  <c r="H47" i="46"/>
  <c r="G47" i="46"/>
  <c r="E53" i="46" s="1"/>
  <c r="F47" i="46"/>
  <c r="E54" i="46" s="1"/>
  <c r="E47" i="46"/>
  <c r="E55" i="46" s="1"/>
  <c r="E56" i="46"/>
  <c r="G56" i="46" s="1"/>
  <c r="G51" i="53" l="1"/>
  <c r="D87" i="53" s="1"/>
  <c r="B50" i="53"/>
  <c r="G61" i="52"/>
  <c r="E34" i="50"/>
  <c r="D36" i="50" s="1"/>
  <c r="D65" i="49"/>
  <c r="F40" i="49"/>
  <c r="F64" i="49" s="1"/>
  <c r="F41" i="49"/>
  <c r="F65" i="49" s="1"/>
  <c r="G37" i="49"/>
  <c r="G40" i="49"/>
  <c r="H40" i="49" s="1"/>
  <c r="H64" i="49" s="1"/>
  <c r="I56" i="46"/>
  <c r="G54" i="46"/>
  <c r="I55" i="46"/>
  <c r="I52" i="46"/>
  <c r="D57" i="46"/>
  <c r="C57" i="46"/>
  <c r="G53" i="46"/>
  <c r="I53" i="46"/>
  <c r="I57" i="46" s="1"/>
  <c r="F52" i="46"/>
  <c r="H52" i="46" s="1"/>
  <c r="E52" i="46"/>
  <c r="G52" i="46" s="1"/>
  <c r="G57" i="46" s="1"/>
  <c r="H55" i="46"/>
  <c r="G55" i="46"/>
  <c r="J55" i="46" s="1"/>
  <c r="K55" i="46" s="1"/>
  <c r="H53" i="46"/>
  <c r="J53" i="46" s="1"/>
  <c r="K53" i="46" s="1"/>
  <c r="H56" i="46"/>
  <c r="J56" i="46" s="1"/>
  <c r="K56" i="46" s="1"/>
  <c r="H54" i="46"/>
  <c r="J54" i="46" s="1"/>
  <c r="K54" i="46" s="1"/>
  <c r="H147" i="45"/>
  <c r="G148" i="45"/>
  <c r="G147" i="45"/>
  <c r="F149" i="45"/>
  <c r="F148" i="45"/>
  <c r="F147" i="45"/>
  <c r="E150" i="45"/>
  <c r="E149" i="45"/>
  <c r="E148" i="45"/>
  <c r="E147" i="45"/>
  <c r="D151" i="45"/>
  <c r="D150" i="45"/>
  <c r="D149" i="45"/>
  <c r="D148" i="45"/>
  <c r="D147" i="45"/>
  <c r="C152" i="45"/>
  <c r="C151" i="45"/>
  <c r="C150" i="45"/>
  <c r="C149" i="45"/>
  <c r="C148" i="45"/>
  <c r="C147" i="45"/>
  <c r="G138" i="45"/>
  <c r="F139" i="45"/>
  <c r="F138" i="45"/>
  <c r="E140" i="45"/>
  <c r="E139" i="45"/>
  <c r="E138" i="45"/>
  <c r="D141" i="45"/>
  <c r="C141" i="45"/>
  <c r="D140" i="45"/>
  <c r="C140" i="45"/>
  <c r="D139" i="45"/>
  <c r="C139" i="45"/>
  <c r="D138" i="45"/>
  <c r="C138" i="45"/>
  <c r="C142" i="45"/>
  <c r="H138" i="45"/>
  <c r="G139" i="45"/>
  <c r="G157" i="45" s="1"/>
  <c r="F140" i="45"/>
  <c r="F158" i="45" s="1"/>
  <c r="E141" i="45"/>
  <c r="D142" i="45"/>
  <c r="C143" i="45"/>
  <c r="G129" i="45"/>
  <c r="F130" i="45"/>
  <c r="F129" i="45" s="1"/>
  <c r="E131" i="45"/>
  <c r="E130" i="45"/>
  <c r="E129" i="45"/>
  <c r="D132" i="45"/>
  <c r="C132" i="45"/>
  <c r="D131" i="45"/>
  <c r="D130" i="45" s="1"/>
  <c r="D129" i="45" s="1"/>
  <c r="C131" i="45"/>
  <c r="C130" i="45" s="1"/>
  <c r="C129" i="45" s="1"/>
  <c r="C133" i="45"/>
  <c r="H129" i="45"/>
  <c r="G130" i="45"/>
  <c r="F131" i="45"/>
  <c r="E132" i="45"/>
  <c r="D133" i="45"/>
  <c r="C134" i="45"/>
  <c r="H156" i="45"/>
  <c r="D160" i="45"/>
  <c r="H119" i="45"/>
  <c r="G119" i="45"/>
  <c r="F119" i="45"/>
  <c r="E119" i="45"/>
  <c r="D119" i="45"/>
  <c r="C119" i="45"/>
  <c r="C109" i="45"/>
  <c r="C120" i="45" s="1"/>
  <c r="D108" i="45"/>
  <c r="D120" i="45" s="1"/>
  <c r="C108" i="45"/>
  <c r="E107" i="45"/>
  <c r="E120" i="45" s="1"/>
  <c r="D107" i="45"/>
  <c r="C107" i="45"/>
  <c r="F106" i="45"/>
  <c r="F120" i="45" s="1"/>
  <c r="E106" i="45"/>
  <c r="D106" i="45"/>
  <c r="C106" i="45"/>
  <c r="G105" i="45"/>
  <c r="G120" i="45" s="1"/>
  <c r="F105" i="45"/>
  <c r="E105" i="45"/>
  <c r="D105" i="45"/>
  <c r="C105" i="45"/>
  <c r="H104" i="45"/>
  <c r="H120" i="45" s="1"/>
  <c r="G104" i="45"/>
  <c r="F104" i="45"/>
  <c r="E104" i="45"/>
  <c r="D104" i="45"/>
  <c r="C104" i="45"/>
  <c r="B78" i="45"/>
  <c r="B77" i="45"/>
  <c r="B76" i="45"/>
  <c r="B75" i="45"/>
  <c r="B74" i="45"/>
  <c r="G73" i="45"/>
  <c r="F73" i="45"/>
  <c r="E73" i="45"/>
  <c r="D73" i="45"/>
  <c r="C73" i="45"/>
  <c r="C70" i="45"/>
  <c r="D69" i="45"/>
  <c r="C69" i="45"/>
  <c r="E68" i="45"/>
  <c r="D68" i="45"/>
  <c r="C68" i="45"/>
  <c r="F67" i="45"/>
  <c r="E67" i="45"/>
  <c r="D67" i="45"/>
  <c r="C67" i="45"/>
  <c r="G66" i="45"/>
  <c r="F66" i="45"/>
  <c r="E66" i="45"/>
  <c r="D66" i="45"/>
  <c r="C66" i="45"/>
  <c r="H65" i="45"/>
  <c r="G65" i="45"/>
  <c r="F65" i="45"/>
  <c r="E65" i="45"/>
  <c r="D65" i="45"/>
  <c r="C65" i="45"/>
  <c r="E87" i="53" l="1"/>
  <c r="B49" i="53"/>
  <c r="G50" i="53"/>
  <c r="D86" i="53" s="1"/>
  <c r="E86" i="53" s="1"/>
  <c r="E79" i="52"/>
  <c r="D79" i="52"/>
  <c r="E81" i="52" s="1" a="1"/>
  <c r="E81" i="52" s="1"/>
  <c r="C89" i="52" s="1"/>
  <c r="G64" i="49"/>
  <c r="G41" i="49"/>
  <c r="H57" i="46"/>
  <c r="J52" i="46"/>
  <c r="G156" i="45"/>
  <c r="C161" i="45"/>
  <c r="E158" i="45"/>
  <c r="E159" i="45"/>
  <c r="D159" i="45"/>
  <c r="E156" i="45"/>
  <c r="E157" i="45"/>
  <c r="F156" i="45"/>
  <c r="F157" i="45"/>
  <c r="C75" i="45"/>
  <c r="D77" i="45"/>
  <c r="C77" i="45"/>
  <c r="F75" i="45"/>
  <c r="C78" i="45"/>
  <c r="F74" i="45"/>
  <c r="D74" i="45"/>
  <c r="E74" i="45"/>
  <c r="E76" i="45"/>
  <c r="G74" i="45"/>
  <c r="D75" i="45"/>
  <c r="E75" i="45"/>
  <c r="C74" i="45"/>
  <c r="C76" i="45"/>
  <c r="D76" i="45"/>
  <c r="G49" i="53" l="1"/>
  <c r="D85" i="53" s="1"/>
  <c r="E85" i="53" s="1"/>
  <c r="B48" i="53"/>
  <c r="G48" i="53" s="1"/>
  <c r="D84" i="53" s="1"/>
  <c r="D89" i="52"/>
  <c r="D90" i="52" s="1"/>
  <c r="C90" i="52"/>
  <c r="C91" i="52" s="1"/>
  <c r="H41" i="49"/>
  <c r="H65" i="49" s="1"/>
  <c r="G65" i="49"/>
  <c r="E67" i="49" s="1"/>
  <c r="K52" i="46"/>
  <c r="K57" i="46" s="1"/>
  <c r="J57" i="46"/>
  <c r="C160" i="45"/>
  <c r="D158" i="45"/>
  <c r="E84" i="53" l="1"/>
  <c r="D95" i="53" s="1"/>
  <c r="D93" i="53"/>
  <c r="G57" i="53"/>
  <c r="D91" i="52"/>
  <c r="D93" i="52" s="1"/>
  <c r="D156" i="45"/>
  <c r="D157" i="45"/>
  <c r="C159" i="45"/>
  <c r="D96" i="53" l="1"/>
  <c r="D61" i="53"/>
  <c r="C93" i="52"/>
  <c r="C158" i="45"/>
  <c r="C69" i="53" l="1"/>
  <c r="E69" i="53" s="1"/>
  <c r="F69" i="53" s="1"/>
  <c r="C75" i="53"/>
  <c r="E75" i="53" s="1"/>
  <c r="F75" i="53" s="1"/>
  <c r="C76" i="53"/>
  <c r="E76" i="53" s="1"/>
  <c r="F76" i="53" s="1"/>
  <c r="C68" i="53"/>
  <c r="C74" i="53"/>
  <c r="E74" i="53" s="1"/>
  <c r="F74" i="53" s="1"/>
  <c r="C73" i="53"/>
  <c r="E73" i="53" s="1"/>
  <c r="F73" i="53" s="1"/>
  <c r="C71" i="53"/>
  <c r="E71" i="53" s="1"/>
  <c r="F71" i="53" s="1"/>
  <c r="C70" i="53"/>
  <c r="E70" i="53" s="1"/>
  <c r="F70" i="53" s="1"/>
  <c r="C72" i="53"/>
  <c r="E72" i="53" s="1"/>
  <c r="F72" i="53" s="1"/>
  <c r="C156" i="45"/>
  <c r="C157" i="45"/>
  <c r="E68" i="53" l="1"/>
  <c r="C77" i="53"/>
  <c r="C75" i="44"/>
  <c r="C74" i="44"/>
  <c r="E27" i="44"/>
  <c r="D27" i="44"/>
  <c r="C27" i="44"/>
  <c r="H27" i="44" s="1"/>
  <c r="E26" i="44"/>
  <c r="D26" i="44"/>
  <c r="G26" i="44" s="1"/>
  <c r="C26" i="44"/>
  <c r="F26" i="44" s="1"/>
  <c r="E25" i="44"/>
  <c r="H25" i="44" s="1"/>
  <c r="D25" i="44"/>
  <c r="C25" i="44"/>
  <c r="F25" i="44" s="1"/>
  <c r="C73" i="44"/>
  <c r="G70" i="44"/>
  <c r="F70" i="44"/>
  <c r="E70" i="44"/>
  <c r="D58" i="44"/>
  <c r="D57" i="44"/>
  <c r="E56" i="44"/>
  <c r="E57" i="44" s="1"/>
  <c r="D56" i="44"/>
  <c r="D55" i="44"/>
  <c r="C55" i="44"/>
  <c r="C58" i="44" s="1"/>
  <c r="D54" i="44"/>
  <c r="C54" i="44"/>
  <c r="C57" i="44" s="1"/>
  <c r="E53" i="44"/>
  <c r="D53" i="44"/>
  <c r="C53" i="44"/>
  <c r="C56" i="44" s="1"/>
  <c r="F52" i="44"/>
  <c r="F55" i="44" s="1"/>
  <c r="F58" i="44" s="1"/>
  <c r="D52" i="44"/>
  <c r="F51" i="44"/>
  <c r="F54" i="44" s="1"/>
  <c r="F57" i="44" s="1"/>
  <c r="D51" i="44"/>
  <c r="B51" i="44"/>
  <c r="B52" i="44" s="1"/>
  <c r="F50" i="44"/>
  <c r="F53" i="44" s="1"/>
  <c r="F56" i="44" s="1"/>
  <c r="E50" i="44"/>
  <c r="E51" i="44" s="1"/>
  <c r="E52" i="44" s="1"/>
  <c r="D50" i="44"/>
  <c r="F68" i="53" l="1"/>
  <c r="F77" i="53" s="1"/>
  <c r="E77" i="53"/>
  <c r="C78" i="44"/>
  <c r="F27" i="44"/>
  <c r="C79" i="44"/>
  <c r="C80" i="44"/>
  <c r="G27" i="44"/>
  <c r="G25" i="44"/>
  <c r="H26" i="44"/>
  <c r="G52" i="44"/>
  <c r="G56" i="44"/>
  <c r="G50" i="44"/>
  <c r="G53" i="44"/>
  <c r="G57" i="44"/>
  <c r="G51" i="44"/>
  <c r="E54" i="44"/>
  <c r="E58" i="44"/>
  <c r="G58" i="44" s="1"/>
  <c r="C186" i="42"/>
  <c r="H188" i="42" s="1"/>
  <c r="D196" i="42"/>
  <c r="D195" i="42"/>
  <c r="D194" i="42"/>
  <c r="D193" i="42"/>
  <c r="D192" i="42"/>
  <c r="D191" i="42"/>
  <c r="D190" i="42"/>
  <c r="C196" i="42"/>
  <c r="C195" i="42"/>
  <c r="C194" i="42"/>
  <c r="C193" i="42"/>
  <c r="C192" i="42"/>
  <c r="C191" i="42"/>
  <c r="C190" i="42"/>
  <c r="E196" i="42"/>
  <c r="E195" i="42"/>
  <c r="B195" i="42"/>
  <c r="B194" i="42" s="1"/>
  <c r="B193" i="42" s="1"/>
  <c r="B192" i="42" s="1"/>
  <c r="B191" i="42" s="1"/>
  <c r="B190" i="42" s="1"/>
  <c r="E194" i="42"/>
  <c r="E193" i="42"/>
  <c r="E192" i="42"/>
  <c r="E191" i="42"/>
  <c r="E190" i="42"/>
  <c r="G189" i="42"/>
  <c r="D160" i="42"/>
  <c r="B134" i="42"/>
  <c r="B135" i="42" s="1"/>
  <c r="B136" i="42" s="1"/>
  <c r="B137" i="42" s="1"/>
  <c r="B138" i="42" s="1"/>
  <c r="B139" i="42" s="1"/>
  <c r="E125" i="42"/>
  <c r="D120" i="42"/>
  <c r="D121" i="42"/>
  <c r="D122" i="42"/>
  <c r="D123" i="42"/>
  <c r="D124" i="42"/>
  <c r="D125" i="42"/>
  <c r="D119" i="42"/>
  <c r="C120" i="42"/>
  <c r="C121" i="42"/>
  <c r="C122" i="42"/>
  <c r="C123" i="42"/>
  <c r="C124" i="42"/>
  <c r="C125" i="42"/>
  <c r="C119" i="42"/>
  <c r="B120" i="42"/>
  <c r="B121" i="42" s="1"/>
  <c r="B122" i="42" s="1"/>
  <c r="B123" i="42" s="1"/>
  <c r="B124" i="42" s="1"/>
  <c r="B125" i="42" s="1"/>
  <c r="E98" i="42"/>
  <c r="E99" i="42"/>
  <c r="E100" i="42"/>
  <c r="E101" i="42"/>
  <c r="E102" i="42"/>
  <c r="E103" i="42"/>
  <c r="E97" i="42"/>
  <c r="C98" i="42"/>
  <c r="C99" i="42" s="1"/>
  <c r="C100" i="42" s="1"/>
  <c r="C101" i="42" s="1"/>
  <c r="C102" i="42" s="1"/>
  <c r="C103" i="42" s="1"/>
  <c r="D76" i="42"/>
  <c r="E84" i="42" s="1"/>
  <c r="E83" i="42" s="1"/>
  <c r="E82" i="42" s="1"/>
  <c r="E81" i="42" s="1"/>
  <c r="E80" i="42" s="1"/>
  <c r="E79" i="42" s="1"/>
  <c r="E119" i="42" s="1"/>
  <c r="D85" i="42"/>
  <c r="C85" i="42"/>
  <c r="D84" i="42"/>
  <c r="C84" i="42"/>
  <c r="D83" i="42"/>
  <c r="C83" i="42"/>
  <c r="D82" i="42"/>
  <c r="C82" i="42"/>
  <c r="D81" i="42"/>
  <c r="C81" i="42"/>
  <c r="D80" i="42"/>
  <c r="C80" i="42"/>
  <c r="B80" i="42"/>
  <c r="B81" i="42" s="1"/>
  <c r="D79" i="42"/>
  <c r="C79" i="42"/>
  <c r="C62" i="42"/>
  <c r="C133" i="42" s="1"/>
  <c r="C63" i="42"/>
  <c r="C134" i="42" s="1"/>
  <c r="C64" i="42"/>
  <c r="C135" i="42" s="1"/>
  <c r="C65" i="42"/>
  <c r="C136" i="42" s="1"/>
  <c r="C66" i="42"/>
  <c r="C137" i="42" s="1"/>
  <c r="C67" i="42"/>
  <c r="C138" i="42" s="1"/>
  <c r="C68" i="42"/>
  <c r="C139" i="42" s="1"/>
  <c r="B63" i="42"/>
  <c r="B64" i="42"/>
  <c r="B65" i="42"/>
  <c r="B66" i="42"/>
  <c r="B67" i="42"/>
  <c r="B68" i="42"/>
  <c r="B62" i="42"/>
  <c r="C52" i="42"/>
  <c r="D51" i="42"/>
  <c r="C51" i="42"/>
  <c r="C49" i="42"/>
  <c r="B49" i="42"/>
  <c r="D48" i="42"/>
  <c r="C48" i="42"/>
  <c r="B48" i="42"/>
  <c r="E47" i="42"/>
  <c r="D47" i="42"/>
  <c r="C47" i="42"/>
  <c r="B47" i="42"/>
  <c r="F46" i="42"/>
  <c r="E46" i="42"/>
  <c r="D46" i="42"/>
  <c r="C46" i="42"/>
  <c r="B46" i="42"/>
  <c r="G45" i="42"/>
  <c r="F45" i="42"/>
  <c r="E45" i="42"/>
  <c r="D45" i="42"/>
  <c r="C45" i="42"/>
  <c r="B45" i="42"/>
  <c r="H44" i="42"/>
  <c r="G44" i="42"/>
  <c r="F44" i="42"/>
  <c r="E44" i="42"/>
  <c r="D44" i="42"/>
  <c r="C44" i="42"/>
  <c r="B44" i="42"/>
  <c r="H43" i="42"/>
  <c r="G43" i="42"/>
  <c r="F43" i="42"/>
  <c r="E43" i="42"/>
  <c r="D43" i="42"/>
  <c r="C43" i="42"/>
  <c r="I190" i="42" l="1"/>
  <c r="G54" i="44"/>
  <c r="E55" i="44"/>
  <c r="G55" i="44" s="1"/>
  <c r="F193" i="42"/>
  <c r="F190" i="42"/>
  <c r="G190" i="42" s="1"/>
  <c r="H194" i="42"/>
  <c r="F191" i="42"/>
  <c r="H191" i="42"/>
  <c r="E197" i="42"/>
  <c r="H192" i="42"/>
  <c r="F195" i="42"/>
  <c r="F196" i="42"/>
  <c r="H196" i="42"/>
  <c r="H195" i="42"/>
  <c r="H193" i="42"/>
  <c r="F192" i="42"/>
  <c r="H190" i="42"/>
  <c r="C197" i="42"/>
  <c r="D197" i="42"/>
  <c r="F194" i="42"/>
  <c r="C140" i="42"/>
  <c r="D163" i="42" s="1"/>
  <c r="E107" i="42"/>
  <c r="E109" i="42" s="1"/>
  <c r="E116" i="42" s="1"/>
  <c r="E124" i="42"/>
  <c r="E123" i="42"/>
  <c r="E122" i="42"/>
  <c r="E120" i="42"/>
  <c r="E121" i="42"/>
  <c r="E105" i="42"/>
  <c r="B82" i="42"/>
  <c r="C69" i="42"/>
  <c r="E53" i="42"/>
  <c r="G50" i="42"/>
  <c r="G54" i="42" s="1"/>
  <c r="D64" i="42" s="1"/>
  <c r="C53" i="42"/>
  <c r="C54" i="42" s="1"/>
  <c r="D68" i="42" s="1"/>
  <c r="E50" i="42"/>
  <c r="E54" i="42" s="1"/>
  <c r="D66" i="42" s="1"/>
  <c r="D53" i="42"/>
  <c r="D54" i="42" s="1"/>
  <c r="D67" i="42" s="1"/>
  <c r="D50" i="42"/>
  <c r="F50" i="42"/>
  <c r="F54" i="42" s="1"/>
  <c r="D65" i="42" s="1"/>
  <c r="C50" i="42"/>
  <c r="H50" i="42"/>
  <c r="H54" i="42" s="1"/>
  <c r="G59" i="44" l="1"/>
  <c r="G193" i="42"/>
  <c r="I193" i="42" s="1"/>
  <c r="G191" i="42"/>
  <c r="G194" i="42"/>
  <c r="G196" i="42"/>
  <c r="J193" i="42"/>
  <c r="G192" i="42"/>
  <c r="H197" i="42"/>
  <c r="J190" i="42"/>
  <c r="G195" i="42"/>
  <c r="D162" i="42"/>
  <c r="D164" i="42" s="1"/>
  <c r="F125" i="42"/>
  <c r="G125" i="42" s="1"/>
  <c r="D139" i="42" s="1"/>
  <c r="F124" i="42"/>
  <c r="G124" i="42" s="1"/>
  <c r="D138" i="42" s="1"/>
  <c r="F123" i="42"/>
  <c r="G123" i="42" s="1"/>
  <c r="D137" i="42" s="1"/>
  <c r="F120" i="42"/>
  <c r="G120" i="42" s="1"/>
  <c r="D134" i="42" s="1"/>
  <c r="F122" i="42"/>
  <c r="G122" i="42" s="1"/>
  <c r="D136" i="42" s="1"/>
  <c r="F121" i="42"/>
  <c r="G121" i="42" s="1"/>
  <c r="D135" i="42" s="1"/>
  <c r="F119" i="42"/>
  <c r="G119" i="42" s="1"/>
  <c r="D133" i="42" s="1"/>
  <c r="B83" i="42"/>
  <c r="I54" i="42"/>
  <c r="D62" i="42" s="1"/>
  <c r="E62" i="42" s="1"/>
  <c r="E133" i="42" s="1"/>
  <c r="D63" i="42"/>
  <c r="I192" i="42" l="1"/>
  <c r="J192" i="42" s="1"/>
  <c r="I196" i="42"/>
  <c r="J196" i="42" s="1"/>
  <c r="I194" i="42"/>
  <c r="J194" i="42" s="1"/>
  <c r="I191" i="42"/>
  <c r="J191" i="42" s="1"/>
  <c r="I195" i="42"/>
  <c r="J195" i="42" s="1"/>
  <c r="H50" i="44"/>
  <c r="H52" i="44"/>
  <c r="H56" i="44"/>
  <c r="H57" i="44"/>
  <c r="H53" i="44"/>
  <c r="H51" i="44"/>
  <c r="H58" i="44"/>
  <c r="H54" i="44"/>
  <c r="H55" i="44"/>
  <c r="F133" i="42"/>
  <c r="G126" i="42"/>
  <c r="B84" i="42"/>
  <c r="F62" i="42"/>
  <c r="F79" i="42" s="1"/>
  <c r="G79" i="42" s="1"/>
  <c r="D97" i="42" s="1"/>
  <c r="E63" i="42"/>
  <c r="E134" i="42" s="1"/>
  <c r="F134" i="42" s="1"/>
  <c r="J197" i="42" l="1"/>
  <c r="I197" i="42"/>
  <c r="H59" i="44"/>
  <c r="B85" i="42"/>
  <c r="E64" i="42"/>
  <c r="E135" i="42" s="1"/>
  <c r="F135" i="42" s="1"/>
  <c r="F63" i="42"/>
  <c r="F80" i="42" s="1"/>
  <c r="G80" i="42" s="1"/>
  <c r="D98" i="42" s="1"/>
  <c r="E65" i="42" l="1"/>
  <c r="E136" i="42" s="1"/>
  <c r="F136" i="42" s="1"/>
  <c r="F64" i="42"/>
  <c r="F81" i="42" s="1"/>
  <c r="G81" i="42" s="1"/>
  <c r="D99" i="42" s="1"/>
  <c r="E66" i="42" l="1"/>
  <c r="E137" i="42" s="1"/>
  <c r="F137" i="42" s="1"/>
  <c r="F65" i="42"/>
  <c r="F82" i="42" s="1"/>
  <c r="G82" i="42" s="1"/>
  <c r="D100" i="42" s="1"/>
  <c r="E67" i="42" l="1"/>
  <c r="E138" i="42" s="1"/>
  <c r="F138" i="42" s="1"/>
  <c r="F66" i="42"/>
  <c r="F83" i="42" s="1"/>
  <c r="G83" i="42" s="1"/>
  <c r="D101" i="42" s="1"/>
  <c r="D107" i="42" s="1"/>
  <c r="E68" i="42" l="1"/>
  <c r="F67" i="42"/>
  <c r="F84" i="42" s="1"/>
  <c r="G84" i="42" s="1"/>
  <c r="D102" i="42" s="1"/>
  <c r="D105" i="42" s="1"/>
  <c r="F68" i="42" l="1"/>
  <c r="F85" i="42" s="1"/>
  <c r="G85" i="42" s="1"/>
  <c r="D103" i="42" s="1"/>
  <c r="E139" i="42"/>
  <c r="F139" i="42" l="1"/>
  <c r="F140" i="42" s="1"/>
  <c r="F69" i="42"/>
  <c r="D72" i="41" l="1"/>
  <c r="C47" i="41"/>
  <c r="C30" i="41"/>
  <c r="B31" i="41" s="1"/>
  <c r="D31" i="41" s="1"/>
  <c r="C29" i="41"/>
  <c r="B30" i="41" s="1"/>
  <c r="E30" i="41" s="1"/>
  <c r="C28" i="41"/>
  <c r="B29" i="41" s="1"/>
  <c r="B79" i="41"/>
  <c r="B78" i="41"/>
  <c r="B77" i="41"/>
  <c r="D76" i="41"/>
  <c r="D77" i="41" l="1"/>
  <c r="E77" i="41" s="1"/>
  <c r="D79" i="41"/>
  <c r="E78" i="41"/>
  <c r="D29" i="41"/>
  <c r="E29" i="41" s="1"/>
  <c r="E32" i="41" s="1"/>
  <c r="D51" i="41" s="1"/>
  <c r="D52" i="41" s="1"/>
  <c r="D28" i="41"/>
  <c r="D32" i="41" s="1"/>
  <c r="C51" i="41" s="1"/>
  <c r="C52" i="41" s="1"/>
  <c r="C53" i="41" s="1"/>
  <c r="E80" i="41" l="1"/>
  <c r="D80" i="41"/>
  <c r="D53" i="41"/>
  <c r="I41" i="39" l="1"/>
  <c r="I48" i="39" s="1"/>
  <c r="C41" i="39"/>
  <c r="C48" i="39" s="1"/>
  <c r="E65" i="39" s="1"/>
  <c r="I40" i="39"/>
  <c r="J40" i="39" s="1"/>
  <c r="J47" i="39" s="1"/>
  <c r="C40" i="39"/>
  <c r="D40" i="39" s="1"/>
  <c r="D47" i="39" s="1"/>
  <c r="I39" i="39"/>
  <c r="J39" i="39" s="1"/>
  <c r="K39" i="39" s="1"/>
  <c r="K46" i="39" s="1"/>
  <c r="C39" i="39"/>
  <c r="D39" i="39" s="1"/>
  <c r="D46" i="39" s="1"/>
  <c r="I38" i="39"/>
  <c r="J38" i="39" s="1"/>
  <c r="K38" i="39" s="1"/>
  <c r="L38" i="39" s="1"/>
  <c r="L45" i="39" s="1"/>
  <c r="C38" i="39"/>
  <c r="D38" i="39" s="1"/>
  <c r="E38" i="39" s="1"/>
  <c r="E45" i="39" s="1"/>
  <c r="E32" i="39"/>
  <c r="F31" i="39"/>
  <c r="I45" i="39" l="1"/>
  <c r="K45" i="39"/>
  <c r="I46" i="39"/>
  <c r="J46" i="39"/>
  <c r="D45" i="39"/>
  <c r="F38" i="39"/>
  <c r="F45" i="39" s="1"/>
  <c r="C45" i="39"/>
  <c r="C46" i="39"/>
  <c r="I47" i="39"/>
  <c r="E39" i="39"/>
  <c r="E46" i="39" s="1"/>
  <c r="C47" i="39"/>
  <c r="J45" i="39"/>
  <c r="E54" i="39" l="1"/>
  <c r="D73" i="37" l="1"/>
  <c r="E73" i="37" s="1"/>
  <c r="D72" i="37"/>
  <c r="E72" i="37" s="1"/>
  <c r="D54" i="37"/>
  <c r="D53" i="37"/>
  <c r="D52" i="37"/>
  <c r="G72" i="37"/>
  <c r="G73" i="37" s="1"/>
  <c r="G71" i="37"/>
  <c r="F72" i="37"/>
  <c r="F71" i="37"/>
  <c r="D41" i="37"/>
  <c r="H44" i="37"/>
  <c r="H43" i="37" s="1"/>
  <c r="H45" i="37" s="1"/>
  <c r="I43" i="37"/>
  <c r="F43" i="37"/>
  <c r="G42" i="37"/>
  <c r="E42" i="37"/>
  <c r="F41" i="37"/>
  <c r="E40" i="37"/>
  <c r="H39" i="37"/>
  <c r="G39" i="37" s="1"/>
  <c r="F39" i="37" s="1"/>
  <c r="E39" i="37" s="1"/>
  <c r="Q38" i="37"/>
  <c r="U38" i="37" s="1"/>
  <c r="Y38" i="37" s="1"/>
  <c r="AC38" i="37" s="1"/>
  <c r="E41" i="37" l="1"/>
  <c r="E45" i="37" s="1"/>
  <c r="E74" i="37"/>
  <c r="H73" i="37"/>
  <c r="H72" i="37"/>
  <c r="F42" i="37"/>
  <c r="F45" i="37" s="1"/>
  <c r="D42" i="37"/>
  <c r="D43" i="37" s="1"/>
  <c r="D44" i="37" s="1"/>
  <c r="I44" i="37"/>
  <c r="I45" i="37" s="1"/>
  <c r="G43" i="37"/>
  <c r="G45" i="37" s="1"/>
  <c r="H74" i="37" l="1"/>
  <c r="G47" i="37"/>
  <c r="G49" i="37" s="1"/>
  <c r="C54" i="37" s="1"/>
  <c r="E54" i="37" s="1"/>
  <c r="H47" i="37"/>
  <c r="H49" i="37" s="1"/>
  <c r="E47" i="37"/>
  <c r="E49" i="37" s="1"/>
  <c r="C52" i="37" s="1"/>
  <c r="E52" i="37" s="1"/>
  <c r="I47" i="37"/>
  <c r="I49" i="37" s="1"/>
  <c r="F47" i="37"/>
  <c r="F49" i="37" s="1"/>
  <c r="C53" i="37" s="1"/>
  <c r="E53" i="37" s="1"/>
  <c r="C15" i="37" l="1"/>
  <c r="F10" i="57" l="1"/>
  <c r="E10" i="57"/>
  <c r="D17" i="50"/>
  <c r="G11" i="50"/>
  <c r="F11" i="50"/>
  <c r="E11" i="50"/>
  <c r="D11" i="50"/>
  <c r="C11" i="50"/>
  <c r="D21" i="53"/>
  <c r="C21" i="53"/>
  <c r="I15" i="54"/>
  <c r="I37" i="54" s="1"/>
  <c r="H15" i="54"/>
  <c r="H37" i="54" s="1"/>
  <c r="G15" i="54"/>
  <c r="G37" i="54" s="1"/>
  <c r="F15" i="54"/>
  <c r="F37" i="54" s="1"/>
  <c r="F39" i="54" s="1"/>
  <c r="E15" i="54"/>
  <c r="E37" i="54" s="1"/>
  <c r="F35" i="57" l="1"/>
  <c r="F21" i="57"/>
  <c r="F24" i="57"/>
  <c r="G39" i="54"/>
  <c r="H39" i="54"/>
  <c r="I39" i="54"/>
  <c r="G28" i="54"/>
  <c r="G27" i="54"/>
  <c r="D37" i="57" l="1"/>
  <c r="F26" i="57"/>
  <c r="G30" i="54"/>
  <c r="D47" i="57" l="1"/>
  <c r="D44" i="5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<sst xmlns="http://schemas.openxmlformats.org/spreadsheetml/2006/main" count="922" uniqueCount="556">
  <si>
    <t>(c)</t>
  </si>
  <si>
    <t>ANSWER:</t>
  </si>
  <si>
    <t>(d)</t>
  </si>
  <si>
    <t>(e)</t>
  </si>
  <si>
    <t>(a)</t>
  </si>
  <si>
    <t>(b)</t>
  </si>
  <si>
    <t>(f)</t>
  </si>
  <si>
    <t>(g)</t>
  </si>
  <si>
    <t>The response for part (a) is to be provided in the Word document.</t>
  </si>
  <si>
    <r>
      <t>(</t>
    </r>
    <r>
      <rPr>
        <i/>
        <sz val="12"/>
        <color rgb="FF002060"/>
        <rFont val="Times New Roman"/>
        <family val="1"/>
      </rPr>
      <t>4 points</t>
    </r>
    <r>
      <rPr>
        <sz val="12"/>
        <color rgb="FF002060"/>
        <rFont val="Times New Roman"/>
        <family val="1"/>
      </rPr>
      <t>)</t>
    </r>
  </si>
  <si>
    <t>Question 1</t>
  </si>
  <si>
    <r>
      <t>(</t>
    </r>
    <r>
      <rPr>
        <i/>
        <sz val="12"/>
        <color rgb="FF002060"/>
        <rFont val="Times New Roman"/>
        <family val="1"/>
      </rPr>
      <t>5 points</t>
    </r>
    <r>
      <rPr>
        <sz val="12"/>
        <color rgb="FF002060"/>
        <rFont val="Times New Roman"/>
        <family val="1"/>
      </rPr>
      <t>)</t>
    </r>
  </si>
  <si>
    <r>
      <t>(</t>
    </r>
    <r>
      <rPr>
        <i/>
        <sz val="12"/>
        <color rgb="FF002060"/>
        <rFont val="Times New Roman"/>
        <family val="1"/>
      </rPr>
      <t>6 points</t>
    </r>
    <r>
      <rPr>
        <sz val="12"/>
        <color rgb="FF002060"/>
        <rFont val="Times New Roman"/>
        <family val="1"/>
      </rPr>
      <t>)</t>
    </r>
  </si>
  <si>
    <t>You are given the following information for a single line of business:</t>
  </si>
  <si>
    <t>Calendar Year</t>
  </si>
  <si>
    <t>Unearned Premiums at End of Year</t>
  </si>
  <si>
    <t>Earned Premiums</t>
  </si>
  <si>
    <r>
      <t>(</t>
    </r>
    <r>
      <rPr>
        <i/>
        <sz val="12"/>
        <color rgb="FF002060"/>
        <rFont val="Times New Roman"/>
        <family val="1"/>
      </rPr>
      <t>0.5 points</t>
    </r>
    <r>
      <rPr>
        <sz val="12"/>
        <color rgb="FF002060"/>
        <rFont val="Times New Roman"/>
        <family val="1"/>
      </rPr>
      <t>)  Calculate the calendar year 2018 written premiums.</t>
    </r>
  </si>
  <si>
    <t>You are given the following historical rate changes for this line of business:</t>
  </si>
  <si>
    <t>Rate Change History</t>
  </si>
  <si>
    <t>Effective Date of Rate Change</t>
  </si>
  <si>
    <t>Overall Rate Change %</t>
  </si>
  <si>
    <r>
      <t>(</t>
    </r>
    <r>
      <rPr>
        <i/>
        <sz val="12"/>
        <color rgb="FF002060"/>
        <rFont val="Times New Roman"/>
        <family val="1"/>
      </rPr>
      <t>2 points</t>
    </r>
    <r>
      <rPr>
        <sz val="12"/>
        <color rgb="FF002060"/>
        <rFont val="Times New Roman"/>
        <family val="1"/>
      </rPr>
      <t xml:space="preserve">)  Calculate the 2017, 2018, and 2019 on-level earned premiums, applicable for ratemaking, </t>
    </r>
    <r>
      <rPr>
        <sz val="12"/>
        <color rgb="FF002060"/>
        <rFont val="TimesNewRomanPSMT"/>
      </rPr>
      <t>using the parallelogram method</t>
    </r>
    <r>
      <rPr>
        <sz val="12"/>
        <color rgb="FF002060"/>
        <rFont val="Times New Roman"/>
        <family val="1"/>
      </rPr>
      <t>.</t>
    </r>
  </si>
  <si>
    <t>Following an audit of the data for this line of business, it was discovered that the following two policies were not included in the earned premiums given above:</t>
  </si>
  <si>
    <r>
      <t>(</t>
    </r>
    <r>
      <rPr>
        <i/>
        <sz val="12"/>
        <color rgb="FF002060"/>
        <rFont val="Times New Roman"/>
        <family val="1"/>
      </rPr>
      <t>1.5 points</t>
    </r>
    <r>
      <rPr>
        <sz val="12"/>
        <color rgb="FF002060"/>
        <rFont val="Times New Roman"/>
        <family val="1"/>
      </rPr>
      <t>)  Calculate the 2018 earned premium adjusted to current rate levels for ratemaking purposes for these two policies using the extension of exposures approach.</t>
    </r>
  </si>
  <si>
    <r>
      <t>(</t>
    </r>
    <r>
      <rPr>
        <i/>
        <sz val="12"/>
        <color rgb="FF002060"/>
        <rFont val="Times New Roman"/>
        <family val="1"/>
      </rPr>
      <t>1.5 points</t>
    </r>
    <r>
      <rPr>
        <sz val="12"/>
        <color rgb="FF002060"/>
        <rFont val="Times New Roman"/>
        <family val="1"/>
      </rPr>
      <t xml:space="preserve">)  Explain why the answer in part (c) results in a different answer from multiplying the 2018 earned premiums for these two policies by the 2018 </t>
    </r>
    <r>
      <rPr>
        <sz val="12"/>
        <color rgb="FF002060"/>
        <rFont val="TimesNewRomanPSMT"/>
      </rPr>
      <t>on-level factor calculated in part (b).</t>
    </r>
  </si>
  <si>
    <t>Your co-worker recommends combining the on-level earned premiums from part (b) and part (c) for the total on-level earned premiums to use for ratemaking.</t>
  </si>
  <si>
    <r>
      <t>(</t>
    </r>
    <r>
      <rPr>
        <i/>
        <sz val="12"/>
        <color rgb="FF002060"/>
        <rFont val="Times New Roman"/>
        <family val="1"/>
      </rPr>
      <t>0.5 points</t>
    </r>
    <r>
      <rPr>
        <sz val="12"/>
        <color rgb="FF002060"/>
        <rFont val="Times New Roman"/>
        <family val="1"/>
      </rPr>
      <t>)  Critique this recommendation</t>
    </r>
    <r>
      <rPr>
        <sz val="12"/>
        <color rgb="FF002060"/>
        <rFont val="TimesNewRomanPSMT"/>
      </rPr>
      <t>.</t>
    </r>
  </si>
  <si>
    <t>Question 2</t>
  </si>
  <si>
    <r>
      <t>(</t>
    </r>
    <r>
      <rPr>
        <i/>
        <sz val="12"/>
        <color rgb="FF002060"/>
        <rFont val="Times New Roman"/>
        <family val="1"/>
      </rPr>
      <t>7 points</t>
    </r>
    <r>
      <rPr>
        <sz val="12"/>
        <color rgb="FF002060"/>
        <rFont val="Times New Roman"/>
        <family val="1"/>
      </rPr>
      <t>)</t>
    </r>
  </si>
  <si>
    <t xml:space="preserve">You are given the following claim information evaluated as of December 31, 2021. </t>
  </si>
  <si>
    <t>Accident</t>
  </si>
  <si>
    <t>Year</t>
  </si>
  <si>
    <t>Reported Claims (000)</t>
  </si>
  <si>
    <t>Accident Year</t>
  </si>
  <si>
    <t>Reported Counts</t>
  </si>
  <si>
    <t>You are also informed that the following six claim transactions were not captured in the triangles due to a system error.</t>
  </si>
  <si>
    <t>Trans</t>
  </si>
  <si>
    <t>#</t>
  </si>
  <si>
    <t>Claim ID</t>
  </si>
  <si>
    <t>Transaction Date</t>
  </si>
  <si>
    <t xml:space="preserve">Transaction </t>
  </si>
  <si>
    <t>Description</t>
  </si>
  <si>
    <t>Occurrence Date</t>
  </si>
  <si>
    <t>Case Estimate (000)</t>
  </si>
  <si>
    <t>Indemnity Payment (000)</t>
  </si>
  <si>
    <t>ALAE Payment (000)</t>
  </si>
  <si>
    <t>Open new claim file</t>
  </si>
  <si>
    <t>Open &amp; close new claim file</t>
  </si>
  <si>
    <t>Close reported claim file</t>
  </si>
  <si>
    <t>Change in case estimate</t>
  </si>
  <si>
    <r>
      <t>(</t>
    </r>
    <r>
      <rPr>
        <i/>
        <sz val="12"/>
        <color rgb="FF002060"/>
        <rFont val="Times New Roman"/>
        <family val="1"/>
      </rPr>
      <t>4 points</t>
    </r>
    <r>
      <rPr>
        <sz val="12"/>
        <color rgb="FF002060"/>
        <rFont val="Times New Roman"/>
        <family val="1"/>
      </rPr>
      <t>)  Update both development triangles shown above to include the claim transactions not captured due to the system error.</t>
    </r>
  </si>
  <si>
    <r>
      <t>(</t>
    </r>
    <r>
      <rPr>
        <i/>
        <sz val="12"/>
        <color rgb="FF002060"/>
        <rFont val="Times New Roman"/>
        <family val="1"/>
      </rPr>
      <t>0.5 points</t>
    </r>
    <r>
      <rPr>
        <sz val="12"/>
        <color rgb="FF002060"/>
        <rFont val="Times New Roman"/>
        <family val="1"/>
      </rPr>
      <t>)  Determine calendar year 2021 reported claims.</t>
    </r>
  </si>
  <si>
    <r>
      <t>(</t>
    </r>
    <r>
      <rPr>
        <i/>
        <sz val="12"/>
        <color rgb="FF002060"/>
        <rFont val="Times New Roman"/>
        <family val="1"/>
      </rPr>
      <t>0.5 points</t>
    </r>
    <r>
      <rPr>
        <sz val="12"/>
        <color rgb="FF002060"/>
        <rFont val="Times New Roman"/>
        <family val="1"/>
      </rPr>
      <t>)  Determine case reserves as of December 31, 2021, for accident year 2021 only.</t>
    </r>
  </si>
  <si>
    <t>You are subsequently given a variety of corrected claim and count triangles and have been asked to conduct investigative tests.</t>
  </si>
  <si>
    <r>
      <t>(</t>
    </r>
    <r>
      <rPr>
        <i/>
        <sz val="12"/>
        <color rgb="FF002060"/>
        <rFont val="Times New Roman"/>
        <family val="1"/>
      </rPr>
      <t>1 point</t>
    </r>
    <r>
      <rPr>
        <sz val="12"/>
        <color rgb="FF002060"/>
        <rFont val="Times New Roman"/>
        <family val="1"/>
      </rPr>
      <t>)  Describe the investigative tests you would recommend using for the following independent situations:</t>
    </r>
  </si>
  <si>
    <t>(i)</t>
  </si>
  <si>
    <t>The claim department implemented a new definition of claims to distinguish between reported incidents that are valid claims and incidents not covered under the insurance policy.</t>
  </si>
  <si>
    <t>(ii)</t>
  </si>
  <si>
    <t>The claim department implemented a new initiative to increase their use of partial settlements.</t>
  </si>
  <si>
    <t xml:space="preserve">During investigative testing, you observe an increase in average reported claims, with changes greater than the rate of trend going down each column (from accident year to accident year).  However, the reported counts are stable. </t>
  </si>
  <si>
    <r>
      <t>(</t>
    </r>
    <r>
      <rPr>
        <i/>
        <sz val="12"/>
        <color rgb="FF002060"/>
        <rFont val="Times New Roman"/>
        <family val="1"/>
      </rPr>
      <t>1 point</t>
    </r>
    <r>
      <rPr>
        <sz val="12"/>
        <color rgb="FF002060"/>
        <rFont val="Times New Roman"/>
        <family val="1"/>
      </rPr>
      <t>)  Provide two examples of company operational changes that could cause an increase in average reported claims without affecting reported counts.</t>
    </r>
  </si>
  <si>
    <t xml:space="preserve">for an annual premium of </t>
  </si>
  <si>
    <t xml:space="preserve">Accident year 2021 paid claims and ALAE evaluated as of December 31, 2021, were </t>
  </si>
  <si>
    <t>Question 3</t>
  </si>
  <si>
    <t>The response for question 3 is to be provided in the Word document.</t>
  </si>
  <si>
    <t>Question 4</t>
  </si>
  <si>
    <t>The response for part (b) is to be provided in the Word document.</t>
  </si>
  <si>
    <t>to</t>
  </si>
  <si>
    <t>layer.</t>
  </si>
  <si>
    <t>to insurer A.</t>
  </si>
  <si>
    <t xml:space="preserve">There is an additional </t>
  </si>
  <si>
    <t xml:space="preserve"> of indemnity.</t>
  </si>
  <si>
    <t>of ALAE associated with the</t>
  </si>
  <si>
    <r>
      <t>(</t>
    </r>
    <r>
      <rPr>
        <i/>
        <sz val="12"/>
        <color rgb="FF002060"/>
        <rFont val="Times New Roman"/>
        <family val="1"/>
      </rPr>
      <t>1 point</t>
    </r>
    <r>
      <rPr>
        <sz val="12"/>
        <color rgb="FF002060"/>
        <rFont val="Times New Roman"/>
        <family val="1"/>
      </rPr>
      <t>)  Determine the net amount paid by each company.</t>
    </r>
  </si>
  <si>
    <t>Insurer A</t>
  </si>
  <si>
    <t>Reinsurer B</t>
  </si>
  <si>
    <r>
      <t>(</t>
    </r>
    <r>
      <rPr>
        <i/>
        <sz val="12"/>
        <color rgb="FF002060"/>
        <rFont val="Times New Roman"/>
        <family val="1"/>
      </rPr>
      <t>1 point</t>
    </r>
    <r>
      <rPr>
        <sz val="12"/>
        <color rgb="FF002060"/>
        <rFont val="Times New Roman"/>
        <family val="1"/>
      </rPr>
      <t>)  Calculate the total net amount paid by each company for this claim with pro-rata treatment of ALAE.</t>
    </r>
  </si>
  <si>
    <t xml:space="preserve"> has been submitted by a policyholder to insurer A.</t>
  </si>
  <si>
    <t xml:space="preserve"> of ALAE associated with the</t>
  </si>
  <si>
    <r>
      <t>(</t>
    </r>
    <r>
      <rPr>
        <i/>
        <sz val="12"/>
        <color rgb="FF002060"/>
        <rFont val="Times New Roman"/>
        <family val="1"/>
      </rPr>
      <t>1 point</t>
    </r>
    <r>
      <rPr>
        <sz val="12"/>
        <color rgb="FF002060"/>
        <rFont val="Times New Roman"/>
        <family val="1"/>
      </rPr>
      <t>)  Calculate the total net amount paid by each company for this claim when ALAE is considered within the retention for this second claim.</t>
    </r>
  </si>
  <si>
    <t>Question 5</t>
  </si>
  <si>
    <r>
      <t>(</t>
    </r>
    <r>
      <rPr>
        <i/>
        <sz val="12"/>
        <color rgb="FF002060"/>
        <rFont val="Times New Roman"/>
        <family val="1"/>
      </rPr>
      <t>12 points</t>
    </r>
    <r>
      <rPr>
        <sz val="12"/>
        <color rgb="FF002060"/>
        <rFont val="Times New Roman"/>
        <family val="1"/>
      </rPr>
      <t>)</t>
    </r>
  </si>
  <si>
    <t>You are estimating unpaid claims for a line of business using several different methods, and are given the following information evaluated as of December 31, 2021:</t>
  </si>
  <si>
    <t>Paid Claims (000)</t>
  </si>
  <si>
    <t>Calendar/ Accident Year</t>
  </si>
  <si>
    <t>Premium On-Level Factors</t>
  </si>
  <si>
    <t>Trended On-Level Claim Ratios based on Reported Claims</t>
  </si>
  <si>
    <t>The annual claim severity trend is</t>
  </si>
  <si>
    <t>The annual claim frequency trend is</t>
  </si>
  <si>
    <r>
      <t>(</t>
    </r>
    <r>
      <rPr>
        <i/>
        <sz val="12"/>
        <color rgb="FF002060"/>
        <rFont val="Times New Roman"/>
        <family val="1"/>
      </rPr>
      <t>4.5 points</t>
    </r>
    <r>
      <rPr>
        <sz val="12"/>
        <color rgb="FF002060"/>
        <rFont val="Times New Roman"/>
        <family val="1"/>
      </rPr>
      <t>)  Calculate the ultimate claims for all accident years using the development method with paid claims.  Justify any selections you make.</t>
    </r>
  </si>
  <si>
    <r>
      <t>(</t>
    </r>
    <r>
      <rPr>
        <i/>
        <sz val="12"/>
        <color rgb="FF002060"/>
        <rFont val="Times New Roman"/>
        <family val="1"/>
      </rPr>
      <t>1.5 points</t>
    </r>
    <r>
      <rPr>
        <sz val="12"/>
        <color rgb="FF002060"/>
        <rFont val="Times New Roman"/>
        <family val="1"/>
      </rPr>
      <t>)  Calculate the trended on-level claim ratios for all accident years using the ultimate claims calculated in part (a).</t>
    </r>
  </si>
  <si>
    <t xml:space="preserve">Trended on-level claim ratios derived from reported claims as well as paid claims are considered for the expected claim ratio. </t>
  </si>
  <si>
    <r>
      <t>(</t>
    </r>
    <r>
      <rPr>
        <i/>
        <sz val="12"/>
        <color rgb="FF002060"/>
        <rFont val="Times New Roman"/>
        <family val="1"/>
      </rPr>
      <t>1.5 points</t>
    </r>
    <r>
      <rPr>
        <sz val="12"/>
        <color rgb="FF002060"/>
        <rFont val="Times New Roman"/>
        <family val="1"/>
      </rPr>
      <t>)  Recommend a 2021 cost level expected claim ratio to use for estimating expected claims.  Justify your recommendation.</t>
    </r>
  </si>
  <si>
    <r>
      <t>(</t>
    </r>
    <r>
      <rPr>
        <i/>
        <sz val="12"/>
        <color rgb="FF002060"/>
        <rFont val="Times New Roman"/>
        <family val="1"/>
      </rPr>
      <t>1 point</t>
    </r>
    <r>
      <rPr>
        <sz val="12"/>
        <color rgb="FF002060"/>
        <rFont val="Times New Roman"/>
        <family val="1"/>
      </rPr>
      <t>)  Calculate expected claims for all accident years based on the recommendation in part (c).</t>
    </r>
  </si>
  <si>
    <t>Your appointed actuary has selected the following ultimate claims for this line of business as of December 31, 2021:</t>
  </si>
  <si>
    <t>Selected Ultimate Claims</t>
  </si>
  <si>
    <t>Total</t>
  </si>
  <si>
    <r>
      <t>(</t>
    </r>
    <r>
      <rPr>
        <i/>
        <sz val="12"/>
        <color rgb="FF002060"/>
        <rFont val="Times New Roman"/>
        <family val="1"/>
      </rPr>
      <t>0.5 points</t>
    </r>
    <r>
      <rPr>
        <sz val="12"/>
        <color rgb="FF002060"/>
        <rFont val="Times New Roman"/>
        <family val="1"/>
      </rPr>
      <t>)  Calculate the total unpaid claims for this line of business as of December 31, 3021, showing the case estimate and indicated IBNR separately.</t>
    </r>
  </si>
  <si>
    <t>You are provided with the following additional information:</t>
  </si>
  <si>
    <t>Reported Claims as of March 31, 2022</t>
  </si>
  <si>
    <r>
      <t>(</t>
    </r>
    <r>
      <rPr>
        <i/>
        <sz val="12"/>
        <color rgb="FF002060"/>
        <rFont val="Times New Roman"/>
        <family val="1"/>
      </rPr>
      <t>1.5 points</t>
    </r>
    <r>
      <rPr>
        <sz val="12"/>
        <color rgb="FF002060"/>
        <rFont val="Times New Roman"/>
        <family val="1"/>
      </rPr>
      <t>)  Calculate the difference between the actual and expected reported claims for this line of business from December 31, 2021 through March 31, 2022 for all accident years, using linear interpolation.</t>
    </r>
  </si>
  <si>
    <t>Question 6</t>
  </si>
  <si>
    <t>The response for question 6 is to be provided in the Word document.</t>
  </si>
  <si>
    <t>Question 7</t>
  </si>
  <si>
    <t>Your company uses only two rating variables for its homeowners insurance policy. One is class (A, B, and C) and the other is territory (1, 2, and 3).  Rates are determined as:</t>
  </si>
  <si>
    <t>base rate × class factor × territory factor.</t>
  </si>
  <si>
    <t>The exposures for the nine rating combinations are given in the following table:</t>
  </si>
  <si>
    <t>Exposures</t>
  </si>
  <si>
    <t>Class</t>
  </si>
  <si>
    <t>Territory</t>
  </si>
  <si>
    <t>A</t>
  </si>
  <si>
    <t>B</t>
  </si>
  <si>
    <t>C</t>
  </si>
  <si>
    <r>
      <t>(</t>
    </r>
    <r>
      <rPr>
        <i/>
        <sz val="12"/>
        <color rgb="FF002060"/>
        <rFont val="Times New Roman"/>
        <family val="1"/>
      </rPr>
      <t>1.5 points</t>
    </r>
    <r>
      <rPr>
        <sz val="12"/>
        <color rgb="FF002060"/>
        <rFont val="Times New Roman"/>
        <family val="1"/>
      </rPr>
      <t>)  Determine if there is distributional bias in the exposure data.  Support your conclusion.</t>
    </r>
  </si>
  <si>
    <t>The trended ultimate pure premiums are given in the following table:</t>
  </si>
  <si>
    <t>Pure Premiums</t>
  </si>
  <si>
    <r>
      <t>(</t>
    </r>
    <r>
      <rPr>
        <i/>
        <sz val="12"/>
        <color rgb="FF002060"/>
        <rFont val="Times New Roman"/>
        <family val="1"/>
      </rPr>
      <t>1.5 points</t>
    </r>
    <r>
      <rPr>
        <sz val="12"/>
        <color rgb="FF002060"/>
        <rFont val="Times New Roman"/>
        <family val="1"/>
      </rPr>
      <t xml:space="preserve">)  Calculate the rebalanced pure premiums using the one-way analysis relativities for each rating variable combination. </t>
    </r>
  </si>
  <si>
    <t>The minimum bias approach is to be used to obtain the final relativities.  The process starts with the one-way relativities for territory.</t>
  </si>
  <si>
    <r>
      <t>(</t>
    </r>
    <r>
      <rPr>
        <i/>
        <sz val="12"/>
        <color rgb="FF002060"/>
        <rFont val="Times New Roman"/>
        <family val="1"/>
      </rPr>
      <t>1.5 points</t>
    </r>
    <r>
      <rPr>
        <sz val="12"/>
        <color rgb="FF002060"/>
        <rFont val="Times New Roman"/>
        <family val="1"/>
      </rPr>
      <t>)  Calculate the revised relativities by class that result from a single iteration of the minimum bias method.</t>
    </r>
  </si>
  <si>
    <r>
      <t>(</t>
    </r>
    <r>
      <rPr>
        <i/>
        <sz val="12"/>
        <color rgb="FF002060"/>
        <rFont val="Times New Roman"/>
        <family val="1"/>
      </rPr>
      <t>0.5 points</t>
    </r>
    <r>
      <rPr>
        <sz val="12"/>
        <color rgb="FF002060"/>
        <rFont val="Times New Roman"/>
        <family val="1"/>
      </rPr>
      <t>)  Describe the condition under which the converged results of the minimum bias method will be factors that reproduce all nine observed trended ultimate pure premiums.</t>
    </r>
  </si>
  <si>
    <t>Question 8</t>
  </si>
  <si>
    <t>You are given the following information:</t>
  </si>
  <si>
    <t>Reported Claims</t>
  </si>
  <si>
    <t>Paid Claims</t>
  </si>
  <si>
    <t>Closed Counts</t>
  </si>
  <si>
    <t>Selected</t>
  </si>
  <si>
    <t>Ultimate Counts</t>
  </si>
  <si>
    <t>There are several diagnostic tests that can be used to confirm that the case estimates have increased.</t>
  </si>
  <si>
    <r>
      <t>(</t>
    </r>
    <r>
      <rPr>
        <i/>
        <sz val="12"/>
        <color rgb="FF002060"/>
        <rFont val="Times New Roman"/>
        <family val="1"/>
      </rPr>
      <t>1.5 points</t>
    </r>
    <r>
      <rPr>
        <sz val="12"/>
        <color rgb="FF002060"/>
        <rFont val="Times New Roman"/>
        <family val="1"/>
      </rPr>
      <t>)  Verify that the case estimates have increased for this line of business using one diagnostic test.</t>
    </r>
  </si>
  <si>
    <r>
      <t>(</t>
    </r>
    <r>
      <rPr>
        <i/>
        <sz val="12"/>
        <color rgb="FF002060"/>
        <rFont val="Times New Roman"/>
        <family val="1"/>
      </rPr>
      <t>1 point</t>
    </r>
    <r>
      <rPr>
        <sz val="12"/>
        <color rgb="FF002060"/>
        <rFont val="Times New Roman"/>
        <family val="1"/>
      </rPr>
      <t>)  Describe a different diagnostic test from the test performed in part (a) that may indicate that case estimates have increased for this line of business.</t>
    </r>
  </si>
  <si>
    <t>The disposal rates can be evaluated to determine if the rate of claims settlement has increased.</t>
  </si>
  <si>
    <r>
      <t>(</t>
    </r>
    <r>
      <rPr>
        <i/>
        <sz val="12"/>
        <color rgb="FF002060"/>
        <rFont val="Times New Roman"/>
        <family val="1"/>
      </rPr>
      <t>1.5 points</t>
    </r>
    <r>
      <rPr>
        <sz val="12"/>
        <color rgb="FF002060"/>
        <rFont val="Times New Roman"/>
        <family val="1"/>
      </rPr>
      <t>)  Evaluate the disposal rates for this line of business to confirm that the rate of claims settlement has increased.</t>
    </r>
  </si>
  <si>
    <r>
      <t>(</t>
    </r>
    <r>
      <rPr>
        <i/>
        <sz val="12"/>
        <color rgb="FF002060"/>
        <rFont val="Times New Roman"/>
        <family val="1"/>
      </rPr>
      <t>0.5 points</t>
    </r>
    <r>
      <rPr>
        <sz val="12"/>
        <color rgb="FF002060"/>
        <rFont val="Times New Roman"/>
        <family val="1"/>
      </rPr>
      <t>)  Recommend disposal rates for each maturity age.  Justify your recommendation.</t>
    </r>
  </si>
  <si>
    <r>
      <t>(</t>
    </r>
    <r>
      <rPr>
        <i/>
        <sz val="12"/>
        <color rgb="FF002060"/>
        <rFont val="Times New Roman"/>
        <family val="1"/>
      </rPr>
      <t>2.5 points</t>
    </r>
    <r>
      <rPr>
        <sz val="12"/>
        <color rgb="FF002060"/>
        <rFont val="Times New Roman"/>
        <family val="1"/>
      </rPr>
      <t>)  Calculate the adjusted case estimate triangle for this line of business, adjusting for changes in both case estimates and settlement rates.  Justify any selections you make.</t>
    </r>
  </si>
  <si>
    <t>Question 9</t>
  </si>
  <si>
    <t>You are estimating the IBNR for the layer 900,000 excess of 100,000 and are considering the following two approaches to the development method:</t>
  </si>
  <si>
    <r>
      <t>(</t>
    </r>
    <r>
      <rPr>
        <i/>
        <sz val="12"/>
        <color rgb="FF002060"/>
        <rFont val="Times New Roman"/>
        <family val="1"/>
      </rPr>
      <t>1 point</t>
    </r>
    <r>
      <rPr>
        <sz val="12"/>
        <color rgb="FF002060"/>
        <rFont val="Times New Roman"/>
        <family val="1"/>
      </rPr>
      <t>)  Explain why the theoretical approach might be the preferred approach.</t>
    </r>
  </si>
  <si>
    <t>as of December 31, 2021</t>
  </si>
  <si>
    <t>Limit 100,000</t>
  </si>
  <si>
    <t>Limit 1,000,000</t>
  </si>
  <si>
    <t>Total Limits –</t>
  </si>
  <si>
    <t>Selected Cumulative Development Factors to Ultimate</t>
  </si>
  <si>
    <r>
      <t>Summary of Severity Relativities (</t>
    </r>
    <r>
      <rPr>
        <b/>
        <i/>
        <sz val="12"/>
        <color rgb="FF002060"/>
        <rFont val="Times New Roman"/>
        <family val="1"/>
      </rPr>
      <t>R</t>
    </r>
    <r>
      <rPr>
        <b/>
        <i/>
        <vertAlign val="subscript"/>
        <sz val="12"/>
        <color rgb="FF002060"/>
        <rFont val="Times New Roman"/>
        <family val="1"/>
      </rPr>
      <t>t</t>
    </r>
    <r>
      <rPr>
        <b/>
        <sz val="12"/>
        <color rgb="FF002060"/>
        <rFont val="Times New Roman"/>
        <family val="1"/>
      </rPr>
      <t xml:space="preserve">) by Maturity </t>
    </r>
  </si>
  <si>
    <r>
      <t>R</t>
    </r>
    <r>
      <rPr>
        <i/>
        <vertAlign val="subscript"/>
        <sz val="12"/>
        <color rgb="FF002060"/>
        <rFont val="Times New Roman"/>
        <family val="1"/>
      </rPr>
      <t>t</t>
    </r>
    <r>
      <rPr>
        <sz val="12"/>
        <color rgb="FF002060"/>
        <rFont val="Times New Roman"/>
        <family val="1"/>
      </rPr>
      <t xml:space="preserve"> 100,000 to Unlimited</t>
    </r>
  </si>
  <si>
    <r>
      <t>R</t>
    </r>
    <r>
      <rPr>
        <i/>
        <vertAlign val="subscript"/>
        <sz val="12"/>
        <color rgb="FF002060"/>
        <rFont val="Times New Roman"/>
        <family val="1"/>
      </rPr>
      <t>t</t>
    </r>
    <r>
      <rPr>
        <sz val="12"/>
        <color rgb="FF002060"/>
        <rFont val="Times New Roman"/>
        <family val="1"/>
      </rPr>
      <t xml:space="preserve"> 1,000,000 to Unlimited</t>
    </r>
  </si>
  <si>
    <t xml:space="preserve">There is no development beyond 72 months. </t>
  </si>
  <si>
    <r>
      <t>(</t>
    </r>
    <r>
      <rPr>
        <i/>
        <sz val="12"/>
        <color rgb="FF002060"/>
        <rFont val="Times New Roman"/>
        <family val="1"/>
      </rPr>
      <t>3 points</t>
    </r>
    <r>
      <rPr>
        <sz val="12"/>
        <color rgb="FF002060"/>
        <rFont val="Times New Roman"/>
        <family val="1"/>
      </rPr>
      <t>)  Calculate the IBNR for the layer 900,000 excess of 100,000 as of December 31, 2021 using theoretically-derived development factors at different limits.</t>
    </r>
  </si>
  <si>
    <t>Question 10</t>
  </si>
  <si>
    <t>The response for question 10 is to be provided in the Word document.</t>
  </si>
  <si>
    <t>Question 11</t>
  </si>
  <si>
    <t>You are estimating unpaid claims as of December 31, 2021, using a frequency-severity closure method, and are given the following information:</t>
  </si>
  <si>
    <t>Incremental Closed Counts by Age</t>
  </si>
  <si>
    <t>There is no development beyond 36 months.</t>
  </si>
  <si>
    <r>
      <t>(</t>
    </r>
    <r>
      <rPr>
        <i/>
        <sz val="12"/>
        <color rgb="FF002060"/>
        <rFont val="Times New Roman"/>
        <family val="1"/>
      </rPr>
      <t>3 points</t>
    </r>
    <r>
      <rPr>
        <sz val="12"/>
        <color rgb="FF002060"/>
        <rFont val="Times New Roman"/>
        <family val="1"/>
      </rPr>
      <t>)  Calculate the incremental closed counts for accident half-years 2021-1 and 2021-2 for all maturity ages.</t>
    </r>
  </si>
  <si>
    <t>You are given the following additional information:</t>
  </si>
  <si>
    <t>Incremental Paid Severity at 2021-2 Cost Level</t>
  </si>
  <si>
    <t>The annual severity trend is</t>
  </si>
  <si>
    <r>
      <t>(</t>
    </r>
    <r>
      <rPr>
        <i/>
        <sz val="12"/>
        <color rgb="FF002060"/>
        <rFont val="Times New Roman"/>
        <family val="1"/>
      </rPr>
      <t>1 point</t>
    </r>
    <r>
      <rPr>
        <sz val="12"/>
        <color rgb="FF002060"/>
        <rFont val="Times New Roman"/>
        <family val="1"/>
      </rPr>
      <t>)  Calculate the total unpaid claims for accident year 2021 as of December 31, 2021.</t>
    </r>
  </si>
  <si>
    <t>Question 12</t>
  </si>
  <si>
    <t>You are given the following information for estimating unpaid ULAE as of December 31, 2021.</t>
  </si>
  <si>
    <t>Calendar</t>
  </si>
  <si>
    <t>Paid</t>
  </si>
  <si>
    <t>Actual Claims</t>
  </si>
  <si>
    <t>Expected Claims</t>
  </si>
  <si>
    <t>ULAE</t>
  </si>
  <si>
    <t>Reported</t>
  </si>
  <si>
    <t xml:space="preserve"> As of Dec. 31, 2021 </t>
  </si>
  <si>
    <t>Case Reserves</t>
  </si>
  <si>
    <t>IBNER Reserves</t>
  </si>
  <si>
    <t>IBNYR Reserves</t>
  </si>
  <si>
    <t xml:space="preserve"> which has been settled.</t>
  </si>
  <si>
    <t>of claim department expenses relate to opening a claim file and</t>
  </si>
  <si>
    <t xml:space="preserve"> relate to maintaining and closing a claim file.</t>
  </si>
  <si>
    <r>
      <t>(</t>
    </r>
    <r>
      <rPr>
        <i/>
        <sz val="12"/>
        <color rgb="FF002060"/>
        <rFont val="Times New Roman"/>
        <family val="1"/>
      </rPr>
      <t>1.5 points</t>
    </r>
    <r>
      <rPr>
        <sz val="12"/>
        <color rgb="FF002060"/>
        <rFont val="Times New Roman"/>
        <family val="1"/>
      </rPr>
      <t>)  Estimate unpaid ULAE as of December 31, 2021, using the classical paid-to-paid method with a simple four-year average of historical experience, and a pure IBNR refinement.</t>
    </r>
  </si>
  <si>
    <r>
      <t>(</t>
    </r>
    <r>
      <rPr>
        <i/>
        <sz val="12"/>
        <color rgb="FF002060"/>
        <rFont val="Times New Roman"/>
        <family val="1"/>
      </rPr>
      <t>1.5 points</t>
    </r>
    <r>
      <rPr>
        <sz val="12"/>
        <color rgb="FF002060"/>
        <rFont val="Times New Roman"/>
        <family val="1"/>
      </rPr>
      <t>)  Estimate unpaid ULAE as of December 31, 2021 using the Kittel refinement with the Mango and Allen smoothing adjustment, a simple four-year average of historical experience, and a pure IBNR refinement.</t>
    </r>
  </si>
  <si>
    <r>
      <t>(</t>
    </r>
    <r>
      <rPr>
        <i/>
        <sz val="12"/>
        <color rgb="FF002060"/>
        <rFont val="Times New Roman"/>
        <family val="1"/>
      </rPr>
      <t>1 point</t>
    </r>
    <r>
      <rPr>
        <sz val="12"/>
        <color rgb="FF002060"/>
        <rFont val="Times New Roman"/>
        <family val="1"/>
      </rPr>
      <t xml:space="preserve">)  Critique the appropriateness of each result from (a) and (b). </t>
    </r>
  </si>
  <si>
    <t>Question 13</t>
  </si>
  <si>
    <t>The response for question 13 is to be provided in the Word document.</t>
  </si>
  <si>
    <t>Question 14</t>
  </si>
  <si>
    <t>You are estimating premium liabilities for a company as of December 31, 2021, and are given the following information:</t>
  </si>
  <si>
    <t xml:space="preserve">Calendar/ Accident  Half Year </t>
  </si>
  <si>
    <t>Written Premiums</t>
  </si>
  <si>
    <t xml:space="preserve"> of gross claims (including ALAE).</t>
  </si>
  <si>
    <t xml:space="preserve"> of gross written premiums.</t>
  </si>
  <si>
    <t xml:space="preserve"> as of December 31, 2021. </t>
  </si>
  <si>
    <r>
      <t>(</t>
    </r>
    <r>
      <rPr>
        <i/>
        <sz val="12"/>
        <color rgb="FF002060"/>
        <rFont val="Times New Roman"/>
        <family val="1"/>
      </rPr>
      <t>1 point</t>
    </r>
    <r>
      <rPr>
        <sz val="12"/>
        <color rgb="FF002060"/>
        <rFont val="Times New Roman"/>
        <family val="1"/>
      </rPr>
      <t xml:space="preserve">)  Verify that the following amounts are consistent with the written premiums provided: </t>
    </r>
  </si>
  <si>
    <t>Calendar half-year 2021‑1 gross earned premium of 510,927</t>
  </si>
  <si>
    <t>Year-end 2021 gross unearned premiums of 515,716</t>
  </si>
  <si>
    <r>
      <t>(</t>
    </r>
    <r>
      <rPr>
        <i/>
        <sz val="12"/>
        <color rgb="FF002060"/>
        <rFont val="Times New Roman"/>
        <family val="1"/>
      </rPr>
      <t>2.5 points</t>
    </r>
    <r>
      <rPr>
        <sz val="12"/>
        <color rgb="FF002060"/>
        <rFont val="Times New Roman"/>
        <family val="1"/>
      </rPr>
      <t xml:space="preserve">)  Recommend the expected claim ratio to be used in the determination of premium liabilities as of December 31, 2021.  Justify your recommendation. </t>
    </r>
  </si>
  <si>
    <r>
      <t>(</t>
    </r>
    <r>
      <rPr>
        <i/>
        <sz val="12"/>
        <color rgb="FF002060"/>
        <rFont val="Times New Roman"/>
        <family val="1"/>
      </rPr>
      <t>1.5 points</t>
    </r>
    <r>
      <rPr>
        <sz val="12"/>
        <color rgb="FF002060"/>
        <rFont val="Times New Roman"/>
        <family val="1"/>
      </rPr>
      <t>)   Calculate the premium liabilities as of December 31, 2021, both gross and net of reinsurance.</t>
    </r>
  </si>
  <si>
    <t>Question 15</t>
  </si>
  <si>
    <t>You are asked to project ultimate claims evaluated as of December 31, 2021, using the Cape Cod method.  You are given the following information:</t>
  </si>
  <si>
    <t>Reported Claims as of Dec 31, 2021 (000)</t>
  </si>
  <si>
    <t>Reported     Cumulative Development Factors</t>
  </si>
  <si>
    <t>2019-1</t>
  </si>
  <si>
    <t>2019-2</t>
  </si>
  <si>
    <t>2020-1</t>
  </si>
  <si>
    <t>2020-2</t>
  </si>
  <si>
    <t>2021-1</t>
  </si>
  <si>
    <t>2021-2</t>
  </si>
  <si>
    <t xml:space="preserve"> is reported in AY 2019.  A similar sized claim is not expected to happen again.</t>
  </si>
  <si>
    <t xml:space="preserve"> was effective</t>
  </si>
  <si>
    <r>
      <t>(</t>
    </r>
    <r>
      <rPr>
        <i/>
        <sz val="12"/>
        <color rgb="FF002060"/>
        <rFont val="Times New Roman"/>
        <family val="1"/>
      </rPr>
      <t>2 points</t>
    </r>
    <r>
      <rPr>
        <sz val="12"/>
        <color rgb="FF002060"/>
        <rFont val="Times New Roman"/>
        <family val="1"/>
      </rPr>
      <t>)  Calculate the adjusted expected claim ratio.</t>
    </r>
  </si>
  <si>
    <r>
      <t>(</t>
    </r>
    <r>
      <rPr>
        <i/>
        <sz val="12"/>
        <color rgb="FF002060"/>
        <rFont val="Times New Roman"/>
        <family val="1"/>
      </rPr>
      <t>1.5 points</t>
    </r>
    <r>
      <rPr>
        <sz val="12"/>
        <color rgb="FF002060"/>
        <rFont val="Times New Roman"/>
        <family val="1"/>
      </rPr>
      <t>)  Calculate projected ultimate claims for all accident years.</t>
    </r>
  </si>
  <si>
    <r>
      <t>(</t>
    </r>
    <r>
      <rPr>
        <i/>
        <sz val="12"/>
        <color rgb="FF002060"/>
        <rFont val="Times New Roman"/>
        <family val="1"/>
      </rPr>
      <t>1.5 points</t>
    </r>
    <r>
      <rPr>
        <sz val="12"/>
        <color rgb="FF002060"/>
        <rFont val="Times New Roman"/>
        <family val="1"/>
      </rPr>
      <t>)  Calculate expected claims for accident year 2021 using the Generalized Cape Cod approach and a decay factor of</t>
    </r>
  </si>
  <si>
    <t>Question 16</t>
  </si>
  <si>
    <t>You are calculating the 2021 earned premiums to use in ratemaking for an automobile line of business, and are given the following information:</t>
  </si>
  <si>
    <t>Vehicle Rate Group</t>
  </si>
  <si>
    <t>Rating Differentials</t>
  </si>
  <si>
    <t>Calendar Year Earned Exposures by Group</t>
  </si>
  <si>
    <t>Prior to July 1, 2021</t>
  </si>
  <si>
    <t>Effective July 1, 2021</t>
  </si>
  <si>
    <r>
      <t>(</t>
    </r>
    <r>
      <rPr>
        <i/>
        <sz val="12"/>
        <color rgb="FF002060"/>
        <rFont val="Times New Roman"/>
        <family val="1"/>
      </rPr>
      <t>1 point</t>
    </r>
    <r>
      <rPr>
        <sz val="12"/>
        <color rgb="FF002060"/>
        <rFont val="Times New Roman"/>
        <family val="1"/>
      </rPr>
      <t>)  Calculate the percentage increase in premiums that occurred from the rating differentials change on July 1, 2021.</t>
    </r>
  </si>
  <si>
    <r>
      <t>(</t>
    </r>
    <r>
      <rPr>
        <i/>
        <sz val="12"/>
        <color rgb="FF002060"/>
        <rFont val="Times New Roman"/>
        <family val="1"/>
      </rPr>
      <t>2 points</t>
    </r>
    <r>
      <rPr>
        <sz val="12"/>
        <color rgb="FF002060"/>
        <rFont val="Times New Roman"/>
        <family val="1"/>
      </rPr>
      <t>)  Recommend the annual premium trend rate to use for ratemaking for this line of business.  Justify your recommendation.</t>
    </r>
  </si>
  <si>
    <r>
      <t>(</t>
    </r>
    <r>
      <rPr>
        <i/>
        <sz val="12"/>
        <color rgb="FF002060"/>
        <rFont val="Times New Roman"/>
        <family val="1"/>
      </rPr>
      <t>2 points</t>
    </r>
    <r>
      <rPr>
        <sz val="12"/>
        <color rgb="FF002060"/>
        <rFont val="Times New Roman"/>
        <family val="1"/>
      </rPr>
      <t>)  Calculate the calendar year 2021 earned premiums to use for ratemaking.</t>
    </r>
  </si>
  <si>
    <t>Question 17</t>
  </si>
  <si>
    <t xml:space="preserve">You are performing a ratemaking analysis for a homeowners book of business.  As part of the analysis, you are including a loading for wildfire claims. </t>
  </si>
  <si>
    <t>Earned Exposures</t>
  </si>
  <si>
    <t>Ultimate Wildfire Counts</t>
  </si>
  <si>
    <t>Ultimate Wildfire Claims</t>
  </si>
  <si>
    <t>The complement of credibility is assigned to the industry figures.</t>
  </si>
  <si>
    <t>, for one year, with all policies written as 12-month policies.</t>
  </si>
  <si>
    <r>
      <t>(</t>
    </r>
    <r>
      <rPr>
        <i/>
        <sz val="12"/>
        <color rgb="FF002060"/>
        <rFont val="Times New Roman"/>
        <family val="1"/>
      </rPr>
      <t>2.5 points</t>
    </r>
    <r>
      <rPr>
        <sz val="12"/>
        <color rgb="FF002060"/>
        <rFont val="Times New Roman"/>
        <family val="1"/>
      </rPr>
      <t>)  Calculate the ultimate pure premium for wildfire claims to be used as a loading in the homeowners premiums.</t>
    </r>
  </si>
  <si>
    <t xml:space="preserve"> per policy.</t>
  </si>
  <si>
    <t xml:space="preserve"> of premium.</t>
  </si>
  <si>
    <r>
      <t>(</t>
    </r>
    <r>
      <rPr>
        <i/>
        <sz val="12"/>
        <color rgb="FF002060"/>
        <rFont val="Times New Roman"/>
        <family val="1"/>
      </rPr>
      <t>1.5 points</t>
    </r>
    <r>
      <rPr>
        <sz val="12"/>
        <color rgb="FF002060"/>
        <rFont val="Times New Roman"/>
        <family val="1"/>
      </rPr>
      <t>)  Calculate the indicated total premium for the homeowners coverage, including a loading for wildfire claims.</t>
    </r>
  </si>
  <si>
    <t>Question 18</t>
  </si>
  <si>
    <t>The response for question 18 is to be provided in the Word document.</t>
  </si>
  <si>
    <t>Question 19</t>
  </si>
  <si>
    <t>You are given the following uncensored aggregated information for a line of business:</t>
  </si>
  <si>
    <t>Indemnity Range</t>
  </si>
  <si>
    <t>Counts in Interval</t>
  </si>
  <si>
    <t>Indemnity</t>
  </si>
  <si>
    <t>–</t>
  </si>
  <si>
    <t>unlimited</t>
  </si>
  <si>
    <t>The base deductible is 500.</t>
  </si>
  <si>
    <r>
      <t>(</t>
    </r>
    <r>
      <rPr>
        <i/>
        <sz val="12"/>
        <color rgb="FF002060"/>
        <rFont val="Times New Roman"/>
        <family val="1"/>
      </rPr>
      <t>1.5 points</t>
    </r>
    <r>
      <rPr>
        <sz val="12"/>
        <color rgb="FF002060"/>
        <rFont val="Times New Roman"/>
        <family val="1"/>
      </rPr>
      <t>)  Calculate the indicated deductible factor for a deductible of 1,000.</t>
    </r>
  </si>
  <si>
    <r>
      <t>(</t>
    </r>
    <r>
      <rPr>
        <i/>
        <sz val="12"/>
        <color rgb="FF002060"/>
        <rFont val="Times New Roman"/>
        <family val="1"/>
      </rPr>
      <t>2.5 points</t>
    </r>
    <r>
      <rPr>
        <sz val="12"/>
        <color rgb="FF002060"/>
        <rFont val="Times New Roman"/>
        <family val="1"/>
      </rPr>
      <t>)  Recommend a factor for a deductible of 1,500.  Justify your recommendation.</t>
    </r>
  </si>
  <si>
    <r>
      <t>(</t>
    </r>
    <r>
      <rPr>
        <i/>
        <sz val="12"/>
        <color rgb="FF002060"/>
        <rFont val="Times New Roman"/>
        <family val="1"/>
      </rPr>
      <t>0.5 points</t>
    </r>
    <r>
      <rPr>
        <sz val="12"/>
        <color rgb="FF002060"/>
        <rFont val="Times New Roman"/>
        <family val="1"/>
      </rPr>
      <t>)  Describe why you would not be able to use data from policies with a 2,000 deductible to determine the deductible factor for a 1,000 deductible if the data was censored.</t>
    </r>
  </si>
  <si>
    <r>
      <t>(</t>
    </r>
    <r>
      <rPr>
        <i/>
        <sz val="12"/>
        <color rgb="FF002060"/>
        <rFont val="Times New Roman"/>
        <family val="1"/>
      </rPr>
      <t>0.5 points</t>
    </r>
    <r>
      <rPr>
        <sz val="12"/>
        <color rgb="FF002060"/>
        <rFont val="Times New Roman"/>
        <family val="1"/>
      </rPr>
      <t>)  Provide a reason why you would choose to determine deductible factors using a classification ratemaking approach instead of using the elimination ratio approach.</t>
    </r>
  </si>
  <si>
    <t>• All policies are written for 12-month terms.</t>
  </si>
  <si>
    <t xml:space="preserve">• Premiums are written evenly throughout the year.
</t>
  </si>
  <si>
    <t>• Premiums are earned evenly throughout the policy term.</t>
  </si>
  <si>
    <t xml:space="preserve">• There have been no additional rate changes after February 1, 2020.
</t>
  </si>
  <si>
    <t xml:space="preserve">• Policy 2 was written on </t>
  </si>
  <si>
    <t xml:space="preserve">	• Policies 1 and 2 were subject to the overall rate changes from the table above with no additional rating factors.
</t>
  </si>
  <si>
    <r>
      <rPr>
        <sz val="12"/>
        <color rgb="FF002060"/>
        <rFont val="Times New Roman"/>
        <family val="1"/>
      </rPr>
      <t>•</t>
    </r>
    <r>
      <rPr>
        <sz val="14.4"/>
        <color rgb="FF002060"/>
        <rFont val="Times New Roman"/>
        <family val="1"/>
      </rPr>
      <t xml:space="preserve"> </t>
    </r>
    <r>
      <rPr>
        <sz val="12"/>
        <color rgb="FF002060"/>
        <rFont val="Times New Roman"/>
        <family val="1"/>
      </rPr>
      <t xml:space="preserve">Policy 1 was written on </t>
    </r>
  </si>
  <si>
    <t xml:space="preserve">• The policy attaches at </t>
  </si>
  <si>
    <t>• Insurer A and reinsurer B equally share the</t>
  </si>
  <si>
    <t xml:space="preserve">• Reinsurer B assumes the full </t>
  </si>
  <si>
    <t>• The annual claim severity trend is</t>
  </si>
  <si>
    <t>• The claims department has noted that starting in 2021, they increased case estimates and increased the rate of claims settlement.</t>
  </si>
  <si>
    <t xml:space="preserve">• Using actual development data at different limits, and </t>
  </si>
  <si>
    <t xml:space="preserve">• Using Siewart’s formula for theoretically-derived development factors at different limits. </t>
  </si>
  <si>
    <t>Accident
Half-Year</t>
  </si>
  <si>
    <t>Selected 
Ultimate Counts</t>
  </si>
  <si>
    <t>• Claims for this coverage are typically low-frequency and high-severity.</t>
  </si>
  <si>
    <t xml:space="preserve">• Calendar year 2019 includes an unusual large claim of </t>
  </si>
  <si>
    <t>• The amounts in the table are before any reinsurance.</t>
  </si>
  <si>
    <t>• Each year, the company renews quota share reinsurance on its gross business (premiums and claims including ALAE) ceding 25% to a reinsurer.</t>
  </si>
  <si>
    <t>• The company only writes 12-month fire insurance policies.</t>
  </si>
  <si>
    <t>• There have been no rate changes since January 1, 2017.</t>
  </si>
  <si>
    <t>• Policies are written evenly throughout the year.</t>
  </si>
  <si>
    <t xml:space="preserve">• ULAE is </t>
  </si>
  <si>
    <t>• The selected general expense ratio is</t>
  </si>
  <si>
    <t xml:space="preserve">• The proportion of general expenses applicable to unearned premiums </t>
  </si>
  <si>
    <t>• The annual claim trend is</t>
  </si>
  <si>
    <t xml:space="preserve">• Claim frequency is significantly higher in the first half of any year. </t>
  </si>
  <si>
    <t xml:space="preserve">• The gross unearned premiums are </t>
  </si>
  <si>
    <t>Ultimate Claims including ALAE</t>
  </si>
  <si>
    <t>Earned Premiums
(000)</t>
  </si>
  <si>
    <t>• All policies are annual, and they are written and earned evenly throughout the year.</t>
  </si>
  <si>
    <t xml:space="preserve">• An unusual large claim of </t>
  </si>
  <si>
    <t>• Rate change history:</t>
  </si>
  <si>
    <t>• A rate change of</t>
  </si>
  <si>
    <t>of</t>
  </si>
  <si>
    <t>• The 2021 calendar year earned premiums at current rate levels are</t>
  </si>
  <si>
    <t>• The new rates will be effective October 1, 2022, for one year.</t>
  </si>
  <si>
    <t>• Two-thirds of the policies are written for annual terms and one-third of the policies are written for six-month terms.</t>
  </si>
  <si>
    <t>• All policies are written and earned evenly throughout the year.</t>
  </si>
  <si>
    <t>• New rates are to be effective</t>
  </si>
  <si>
    <t>• The annual wildfire claim severity trend is</t>
  </si>
  <si>
    <t xml:space="preserve">• The credibility assigned to wildfire claims for this homeowners book of business is </t>
  </si>
  <si>
    <t xml:space="preserve">• A study of industry results with data as of year-end 2020 indicates a trended ultimate pure premium for wildfire claims of </t>
  </si>
  <si>
    <t>• The annual non-wildfire claim severity trend is</t>
  </si>
  <si>
    <t>• The annual premium trend is</t>
  </si>
  <si>
    <t>• Fixed expenses are</t>
  </si>
  <si>
    <t>• Profit and contingencies are</t>
  </si>
  <si>
    <t>• The experience claim ratio for non-wildfire claims as of</t>
  </si>
  <si>
    <t>• The calendar year 2021 on-level earned premiums are</t>
  </si>
  <si>
    <t>is</t>
  </si>
  <si>
    <t xml:space="preserve">with an average accident date of  </t>
  </si>
  <si>
    <t>Insurer A purchased a traditional per occurrence excess of loss contract from reinsurer B for its general liability portfolio with the following policy terms:</t>
  </si>
  <si>
    <t xml:space="preserve">A policyholder submitted a claim of </t>
  </si>
  <si>
    <t xml:space="preserve">There was an additional </t>
  </si>
  <si>
    <r>
      <t>(</t>
    </r>
    <r>
      <rPr>
        <i/>
        <sz val="12"/>
        <color rgb="FF002060"/>
        <rFont val="Times New Roman"/>
        <family val="1"/>
      </rPr>
      <t>1 point</t>
    </r>
    <r>
      <rPr>
        <sz val="12"/>
        <color rgb="FF002060"/>
        <rFont val="Times New Roman"/>
        <family val="1"/>
      </rPr>
      <t>)  Calculate ultimate claims for all accident years using the Bornhuetter Ferguson method based on paid claims.  Use the expected claims from part (d).</t>
    </r>
  </si>
  <si>
    <t>(h)</t>
  </si>
  <si>
    <r>
      <t>(</t>
    </r>
    <r>
      <rPr>
        <i/>
        <sz val="12"/>
        <color rgb="FF002060"/>
        <rFont val="Times New Roman"/>
        <family val="1"/>
      </rPr>
      <t>0.5 points</t>
    </r>
    <r>
      <rPr>
        <sz val="12"/>
        <color rgb="FF002060"/>
        <rFont val="Times New Roman"/>
        <family val="1"/>
      </rPr>
      <t>)  Provide an interpretation of the results for the actual versus expected analysis derived in part (g).</t>
    </r>
  </si>
  <si>
    <t xml:space="preserve">A new claim of </t>
  </si>
  <si>
    <t>Ultimate</t>
  </si>
  <si>
    <t>Claims</t>
  </si>
  <si>
    <t>The reinsurance contract is subsequently renewed whereby all contract terms remain the same except for ALAE.  ALAE will now be considered within the retention instead of pro rata treatment.</t>
  </si>
  <si>
    <t>• Variable expenses are 20%</t>
  </si>
  <si>
    <t>Written Premium</t>
  </si>
  <si>
    <t>D</t>
  </si>
  <si>
    <t>E</t>
  </si>
  <si>
    <t>Effective Date</t>
  </si>
  <si>
    <t>Rate</t>
  </si>
  <si>
    <t>Rate Level</t>
  </si>
  <si>
    <t>Percent Premium Earned in Each CY at Rate Level</t>
  </si>
  <si>
    <t>of Rate Change</t>
  </si>
  <si>
    <t>Change %</t>
  </si>
  <si>
    <t>Index</t>
  </si>
  <si>
    <t>Average Rate Level in each CY:</t>
  </si>
  <si>
    <t>On-Level Factors:</t>
  </si>
  <si>
    <t>On-Level Factor</t>
  </si>
  <si>
    <t>On-Level Earned Premiums</t>
  </si>
  <si>
    <t>Policy</t>
  </si>
  <si>
    <t>Future Rate Changes</t>
  </si>
  <si>
    <t>Months earned in 2018</t>
  </si>
  <si>
    <t>% Earned in 2018</t>
  </si>
  <si>
    <t>2018 Earned Premium</t>
  </si>
  <si>
    <t>n/a</t>
  </si>
  <si>
    <t>The parallelogram approach is an approximation method that assumes polices are written evenly throughout the year.</t>
  </si>
  <si>
    <t>These 2 polices do not represent policies that are written evenly (i.e., they are individual policies and not representative of the average).</t>
  </si>
  <si>
    <t>The extension of exposures approach is more accurate for individual policies.</t>
  </si>
  <si>
    <t>Recommend consistency, so adding the earned premiums from the 2 policies to the total earned premiums and then multiplying by the factor is recommended.</t>
  </si>
  <si>
    <t>Incremental Reported Counts - Missing</t>
  </si>
  <si>
    <t>Cumulative Reported Counts - Missing</t>
  </si>
  <si>
    <t>Incremental Reported Claims - Missing (000)</t>
  </si>
  <si>
    <t>Cumulative Reported Claims - Missing (000)</t>
  </si>
  <si>
    <t xml:space="preserve">CY2021 reported claims (000) = </t>
  </si>
  <si>
    <t xml:space="preserve">AY 2021 case reserves (000) = </t>
  </si>
  <si>
    <t>Ratios of closed no pay counts to closed counts</t>
  </si>
  <si>
    <t>Any of the following is acceptable:</t>
  </si>
  <si>
    <t xml:space="preserve">  - Ratios of paid claims to reported claims</t>
  </si>
  <si>
    <t xml:space="preserve">  - Average paid claims (paid claims divided by closed counts)</t>
  </si>
  <si>
    <t xml:space="preserve">  - Average paid claims on closed with payment counts (paid claims divided by counts closed with payment)</t>
  </si>
  <si>
    <t>Any two of the following are acceptable:</t>
  </si>
  <si>
    <r>
      <t>·</t>
    </r>
    <r>
      <rPr>
        <sz val="7"/>
        <color theme="1"/>
        <rFont val="Times New Roman"/>
        <family val="1"/>
      </rPr>
      <t xml:space="preserve">       </t>
    </r>
    <r>
      <rPr>
        <sz val="12"/>
        <color theme="1"/>
        <rFont val="Times New Roman"/>
        <family val="1"/>
      </rPr>
      <t>Case reserve strengthening</t>
    </r>
  </si>
  <si>
    <r>
      <t>·</t>
    </r>
    <r>
      <rPr>
        <sz val="7"/>
        <color theme="1"/>
        <rFont val="Times New Roman"/>
        <family val="1"/>
      </rPr>
      <t xml:space="preserve">       </t>
    </r>
    <r>
      <rPr>
        <sz val="12"/>
        <color theme="1"/>
        <rFont val="Times New Roman"/>
        <family val="1"/>
      </rPr>
      <t>Increase in policy limits</t>
    </r>
  </si>
  <si>
    <r>
      <t>·</t>
    </r>
    <r>
      <rPr>
        <sz val="7"/>
        <color theme="1"/>
        <rFont val="Times New Roman"/>
        <family val="1"/>
      </rPr>
      <t xml:space="preserve">       </t>
    </r>
    <r>
      <rPr>
        <sz val="12"/>
        <color theme="1"/>
        <rFont val="Times New Roman"/>
        <family val="1"/>
      </rPr>
      <t>Expanded coverage</t>
    </r>
  </si>
  <si>
    <r>
      <t>·</t>
    </r>
    <r>
      <rPr>
        <sz val="7"/>
        <color theme="1"/>
        <rFont val="Times New Roman"/>
        <family val="1"/>
      </rPr>
      <t xml:space="preserve">       </t>
    </r>
    <r>
      <rPr>
        <sz val="12"/>
        <color theme="1"/>
        <rFont val="Times New Roman"/>
        <family val="1"/>
      </rPr>
      <t>Increase in defense costs, e.g., increased use of outside counsel</t>
    </r>
  </si>
  <si>
    <t>Claim</t>
  </si>
  <si>
    <t>From</t>
  </si>
  <si>
    <t>To</t>
  </si>
  <si>
    <t>ALAE</t>
  </si>
  <si>
    <t>ALAE %</t>
  </si>
  <si>
    <t>Claim &amp; ALAE</t>
  </si>
  <si>
    <t>Claims in Layer</t>
  </si>
  <si>
    <t>Net Amount Paid by</t>
  </si>
  <si>
    <t>Paid Claims Age-to-age factors</t>
  </si>
  <si>
    <t>AY</t>
  </si>
  <si>
    <t>Simple All</t>
  </si>
  <si>
    <t>Vol Wtd 5</t>
  </si>
  <si>
    <t>Vol Wtd All</t>
  </si>
  <si>
    <t>Medial All</t>
  </si>
  <si>
    <t>Tail factor</t>
  </si>
  <si>
    <t>Selected:</t>
  </si>
  <si>
    <t>Rationale for selections:</t>
  </si>
  <si>
    <t>Medial all selected for 12-24 and 24-36 due to outliers</t>
  </si>
  <si>
    <t>Simple all years average selected thereafter</t>
  </si>
  <si>
    <t>Ultimate Claims</t>
  </si>
  <si>
    <t>Development Factors</t>
  </si>
  <si>
    <t>Age-to-Age</t>
  </si>
  <si>
    <t>Age-to-Ult.</t>
  </si>
  <si>
    <t>Ultimate Paid Claims (000)</t>
  </si>
  <si>
    <t>Trended On-Level Claim Ratio based on Paid Claims</t>
  </si>
  <si>
    <t>Annual claim ratio trend:</t>
  </si>
  <si>
    <t>Claim Trend @3.635%</t>
  </si>
  <si>
    <t>Trended On-Level Claim Ratio based on</t>
  </si>
  <si>
    <t>Average all years except 2021:</t>
  </si>
  <si>
    <t>Recommended claim ratio:</t>
  </si>
  <si>
    <t>Rationale:</t>
  </si>
  <si>
    <t>Claim Ratio at Each AY Level</t>
  </si>
  <si>
    <t>Selected claim ratio from part (c):</t>
  </si>
  <si>
    <t>Age-to-Ultimate Development Factors</t>
  </si>
  <si>
    <t>Total reported claims:</t>
  </si>
  <si>
    <t>Total unpaid claims:</t>
  </si>
  <si>
    <t>Case estimate:</t>
  </si>
  <si>
    <t>IBNR:</t>
  </si>
  <si>
    <t>Actual versus Expected Reported Claims</t>
  </si>
  <si>
    <t>Claims at</t>
  </si>
  <si>
    <t>Expected % Reported at</t>
  </si>
  <si>
    <t>Actual</t>
  </si>
  <si>
    <t>Expected</t>
  </si>
  <si>
    <t>Difference</t>
  </si>
  <si>
    <t>Actual values are mostly significantly higher than expected, suggesting development factors are too low.</t>
  </si>
  <si>
    <t>2021 actual value is much lower than expected, suggesting the development factor for 2021 is too high.</t>
  </si>
  <si>
    <t>Average excluding high-low (except 2021):</t>
  </si>
  <si>
    <t>Recommend reported claim ratios as they seem more consistent. Exclude high and low to smooth fluctuations.</t>
  </si>
  <si>
    <t>Dec. 31, 2021</t>
  </si>
  <si>
    <t>Ratios to territory 1 for each class:</t>
  </si>
  <si>
    <t>Since the ratios are not consistent for each class, there is distributional bias.</t>
  </si>
  <si>
    <t>One-Way Relativities</t>
  </si>
  <si>
    <t>Rebalanced Pure Premium</t>
  </si>
  <si>
    <t>Pure Premium</t>
  </si>
  <si>
    <t>Total expected claims for each class:</t>
  </si>
  <si>
    <t>One-way territory relativities:</t>
  </si>
  <si>
    <t>Territory 1</t>
  </si>
  <si>
    <t>Territory 2</t>
  </si>
  <si>
    <t>Territory 3</t>
  </si>
  <si>
    <t>First iteration for new class relativities using one-way territory relativities as starting point:</t>
  </si>
  <si>
    <t>The observed pure premiums must be independent for the minimum bias method to reproduce them.</t>
  </si>
  <si>
    <t>Average Case Estimates</t>
  </si>
  <si>
    <t>There is a significant increase along the most recent diagonal which is evidence of an increase in case estimates.</t>
  </si>
  <si>
    <t>Change in average case is preferred as the ratios of paid to reported claims could be either due to a change in average case or a change in claim settlement patterns.</t>
  </si>
  <si>
    <t>Change in Average Case Estimates</t>
  </si>
  <si>
    <t>The ratios of paid claims to reported claims could also indicate a possible change in case estimates.</t>
  </si>
  <si>
    <t>Calculate the triangle of paid claims to reported claims.</t>
  </si>
  <si>
    <t>In a stable environment, the values in each column should be consistent.</t>
  </si>
  <si>
    <t>A decrease in the ratios along the most recent diagonal could suggest a possible change in case estimates, however, a change in claim settlement pattern could also affect these ratios.</t>
  </si>
  <si>
    <t>Disposal rates = ratios of closed counts to ultimate counts.</t>
  </si>
  <si>
    <t>Disposal ratios</t>
  </si>
  <si>
    <t>The increase in the latest diagonal is evidence of the increase in claim settlement.</t>
  </si>
  <si>
    <t>Recommended disposal ratios: use the latest diagonal because that's where the rates increased.</t>
  </si>
  <si>
    <t>Adjusted Average Case Estimates</t>
  </si>
  <si>
    <t>Adjusted Closed Counts</t>
  </si>
  <si>
    <t>Adjusted Open Counts = Reported Counts - Adjusted Closed Counts</t>
  </si>
  <si>
    <t>Adjusted  Case Estimates</t>
  </si>
  <si>
    <t>There is more volatility in the excess layer.</t>
  </si>
  <si>
    <t>As a result, the excess layer has significantly more uncertainty.</t>
  </si>
  <si>
    <t>IBNR</t>
  </si>
  <si>
    <t>CDF 100,000</t>
  </si>
  <si>
    <t>CDF 1,000,000</t>
  </si>
  <si>
    <t>Reported Claims (000) as of December 31, 2021</t>
  </si>
  <si>
    <t>Ultimate Claims (000) as of December 31, 2021</t>
  </si>
  <si>
    <t xml:space="preserve">Claims (000) in the Layer 900,000 Excess of 100,000 </t>
  </si>
  <si>
    <t>Proportion of closed counts</t>
  </si>
  <si>
    <t>Accident Half-Year</t>
  </si>
  <si>
    <t>AHY-1</t>
  </si>
  <si>
    <t>AHY-2</t>
  </si>
  <si>
    <t xml:space="preserve">All </t>
  </si>
  <si>
    <t>Incremental closed counts for 2021:</t>
  </si>
  <si>
    <t>Averages:</t>
  </si>
  <si>
    <t xml:space="preserve">Incremental Paid Severity </t>
  </si>
  <si>
    <t>AHY</t>
  </si>
  <si>
    <t>Projected Incremental Paid Claims</t>
  </si>
  <si>
    <t>Total unpaid claims for AY2021:</t>
  </si>
  <si>
    <t>Paid ULAE</t>
  </si>
  <si>
    <t>Actual Paid Claims</t>
  </si>
  <si>
    <t>Ratio of Paid ULAE to Paid Claims</t>
  </si>
  <si>
    <t xml:space="preserve">Unpaid ULAE = </t>
  </si>
  <si>
    <t>Expected Paid Claims</t>
  </si>
  <si>
    <t>Expected Reported Claims</t>
  </si>
  <si>
    <t>ULAE Ratio</t>
  </si>
  <si>
    <t>Since exposures are growing, the paid-to-paid ratio in part (b) will overstate ULAE, because the paid ULAE in ratio numerator will react to exposure growth faster than paid claims in ratio denominator.</t>
  </si>
  <si>
    <t>The Kittel adjustment helps adjust for exposure growth and the Mango and Allen smoothing adjustment is useful for exposure growth.</t>
  </si>
  <si>
    <t>The Mango and Allen smoothing adjustment is good for volatile lines (or lines with large claims, or lines with low-frequency, high-severity.</t>
  </si>
  <si>
    <t>% Earned in 2021-1</t>
  </si>
  <si>
    <t>Earned Premiums 2021-1</t>
  </si>
  <si>
    <t>Written Premiums 2021-1</t>
  </si>
  <si>
    <t>Written Premiums 2021-2</t>
  </si>
  <si>
    <t>Jan-Jun</t>
  </si>
  <si>
    <t>July-Dec</t>
  </si>
  <si>
    <t>Gross</t>
  </si>
  <si>
    <t>Net</t>
  </si>
  <si>
    <t>Expected ULAE</t>
  </si>
  <si>
    <t>Maintenance expenses</t>
  </si>
  <si>
    <t># of Years for Past Trend (years)</t>
  </si>
  <si>
    <t>Claim Trend</t>
  </si>
  <si>
    <t xml:space="preserve">   Earned in 2022-1</t>
  </si>
  <si>
    <t xml:space="preserve">   Earned in 2022-2</t>
  </si>
  <si>
    <t xml:space="preserve">   Total</t>
  </si>
  <si>
    <t>Average accident dates in 2022:</t>
  </si>
  <si>
    <t>Claim trend factors:</t>
  </si>
  <si>
    <t>Expected claim ratio</t>
  </si>
  <si>
    <t>Weighted average expected claim ratio:</t>
  </si>
  <si>
    <t>Trended to 2021 Cost Level Claim Ratio</t>
  </si>
  <si>
    <t>Claim Ratio</t>
  </si>
  <si>
    <t>Expected claims</t>
  </si>
  <si>
    <t>Total premium liabilities</t>
  </si>
  <si>
    <t>Unearned premium reserve</t>
  </si>
  <si>
    <t>Unearned premiums at Dec. 31, 2021</t>
  </si>
  <si>
    <t>Average accident dates in 2021:</t>
  </si>
  <si>
    <t>Policies Written in 2021-1</t>
  </si>
  <si>
    <t>Policies Written in 2021-2</t>
  </si>
  <si>
    <t>This value is consistent.</t>
  </si>
  <si>
    <t>Accident Year (AY)</t>
  </si>
  <si>
    <t>Ave Rate Level</t>
  </si>
  <si>
    <t>Premium On-Level Factor</t>
  </si>
  <si>
    <t>On-Level Earned Premium</t>
  </si>
  <si>
    <t>Cumulative Development Factors</t>
  </si>
  <si>
    <t>Expected % Developed</t>
  </si>
  <si>
    <t>Used-Up On-Level EP</t>
  </si>
  <si>
    <t>Reported Claims as of Dec 31, 2021</t>
  </si>
  <si>
    <t>Claims Trend Factor</t>
  </si>
  <si>
    <t>Adjusted Claims at Dec 31, 2021</t>
  </si>
  <si>
    <t xml:space="preserve">Expected Claims </t>
  </si>
  <si>
    <t>Expected % Unreported</t>
  </si>
  <si>
    <t>Expected Unreported</t>
  </si>
  <si>
    <t>Projected Ultimate Claims</t>
  </si>
  <si>
    <t>Claim Ratios</t>
  </si>
  <si>
    <t>Decay Factors</t>
  </si>
  <si>
    <t xml:space="preserve">Adjusted Expected Claim Ratio: </t>
  </si>
  <si>
    <t xml:space="preserve">Expected claim ratio for AY2021 = </t>
  </si>
  <si>
    <t xml:space="preserve">Expected claims for AY2021 = </t>
  </si>
  <si>
    <t xml:space="preserve">Estimated % premium change from differential change </t>
  </si>
  <si>
    <t>Recommended annual trend:</t>
  </si>
  <si>
    <t>Weighted average differential</t>
  </si>
  <si>
    <t xml:space="preserve">  (using July 1, 2021 differentials)</t>
  </si>
  <si>
    <t>Year-to-year change</t>
  </si>
  <si>
    <t>Justification: Annual change has stabilized at 0.3% over the last 3 years, so it is reasonable to assume that trend will continue into the future rating period.</t>
  </si>
  <si>
    <t>Rates effective:</t>
  </si>
  <si>
    <t>for</t>
  </si>
  <si>
    <t>year(s)</t>
  </si>
  <si>
    <t>Percent of policies that are 12-month policies:</t>
  </si>
  <si>
    <t>Percent of policies that are 6-month policies:</t>
  </si>
  <si>
    <t>Average earned date in future rating period for 12-month policies:</t>
  </si>
  <si>
    <t>Average earned date in future rating period for 6-month policies:</t>
  </si>
  <si>
    <t>Trending period (months) weighted by policy term:</t>
  </si>
  <si>
    <t>Trending period (months) for 12-month policies: July 1, 2021 to Oct. 1, 2023:</t>
  </si>
  <si>
    <t>Trending period (months) for 12-month policies: July 1, 2021 to Jul. 1, 2023:</t>
  </si>
  <si>
    <t xml:space="preserve">Trend factor </t>
  </si>
  <si>
    <t xml:space="preserve">Trended premium for ratemaking </t>
  </si>
  <si>
    <t>Average accident date in future rating period:</t>
  </si>
  <si>
    <t>Wildfire - Ultimate</t>
  </si>
  <si>
    <t>Trended Ultimate Wildfire</t>
  </si>
  <si>
    <t>Counts</t>
  </si>
  <si>
    <t>Trended Ultimate Claims</t>
  </si>
  <si>
    <t>Frequency</t>
  </si>
  <si>
    <t>Severity</t>
  </si>
  <si>
    <t xml:space="preserve">Pure Premium </t>
  </si>
  <si>
    <t>Credibility</t>
  </si>
  <si>
    <t>Trending Period (years)</t>
  </si>
  <si>
    <t>Severity Trend @3%</t>
  </si>
  <si>
    <t>Credibility weighted wildfire claims experience (at Sep. 1, 2023 cost level):</t>
  </si>
  <si>
    <t>Non-wildfire claims per policy (PP) as of July 1, 2021:</t>
  </si>
  <si>
    <t>Trended non-wildfire PP to future rating period:</t>
  </si>
  <si>
    <t>Indicated premium:</t>
  </si>
  <si>
    <t>Insurer internal experience from part (a)</t>
  </si>
  <si>
    <t>Trended Ultimate Pure Premium</t>
  </si>
  <si>
    <t>Industry experience</t>
  </si>
  <si>
    <t>Indemnity eliminated at 500 deductible</t>
  </si>
  <si>
    <t>Total Indemnity at 500 deductible</t>
  </si>
  <si>
    <t>Indemnity eliminated at 1,000 deductible</t>
  </si>
  <si>
    <t>Total Indemnity at 1,000 deductible</t>
  </si>
  <si>
    <t>Deductible relativity</t>
  </si>
  <si>
    <t>First need to know the 2,000 deductible factor:</t>
  </si>
  <si>
    <t>Indemnity eliminated at 2,000 deductible</t>
  </si>
  <si>
    <t>Total Indemnity at 2,000 deductible</t>
  </si>
  <si>
    <r>
      <t xml:space="preserve">Relativity for 1,500 deductible = </t>
    </r>
    <r>
      <rPr>
        <i/>
        <sz val="12"/>
        <rFont val="Times New Roman"/>
        <family val="1"/>
      </rPr>
      <t>x</t>
    </r>
  </si>
  <si>
    <t>Claimants' behavior and claim experience may differ between different deductibles.</t>
  </si>
  <si>
    <t>Therefore, relativity needs to be between 0.680 and 0.310 -&gt; can use consistency test to find the appropriate range for a factor.</t>
  </si>
  <si>
    <t xml:space="preserve">Based on consistency test, </t>
  </si>
  <si>
    <t>(note: can ignore denominators since they're all 500)</t>
  </si>
  <si>
    <t xml:space="preserve">   solves for x &gt; </t>
  </si>
  <si>
    <t xml:space="preserve">   solves for x &lt; </t>
  </si>
  <si>
    <t>Therefore, recommend any factor higher than 0.360 and lower than 0.495</t>
  </si>
  <si>
    <t>Difference between 500 &amp; 1000, and 1000 &amp; 1500: 1 - 0.676 &gt; 0.676 - x</t>
  </si>
  <si>
    <t>Difference between 1000 &amp; 1500, and 1500 &amp; 2000: 0.676 - x &gt; x - 0.310</t>
  </si>
  <si>
    <t>2018 On-Level Earned Premium</t>
  </si>
  <si>
    <t>Bondy method selected for tail factor as there was still development at 84 months</t>
  </si>
  <si>
    <t>AY2019 Reported Claims excludes the 3,000,000 unusual claim that is not expected again.</t>
  </si>
  <si>
    <t>There may have been claims for amounts between 1000 and 2000 that we don't know about, and we would need to include those claims in the calculation.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</si>
</sst>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00_-;\-* #,##0.00_-;_-* &quot;-&quot;??_-;_-@_-"/>
    <numFmt numFmtId="165" formatCode="mmm\.\ d\,\ yyyy"/>
    <numFmt numFmtId="166" formatCode="0.0%"/>
    <numFmt numFmtId="167" formatCode="0.0000"/>
    <numFmt numFmtId="168" formatCode="0.000"/>
    <numFmt numFmtId="169" formatCode="mmmm\ d\,\ yyyy\."/>
    <numFmt numFmtId="170" formatCode="mmmm\ d\,\ yyyy"/>
    <numFmt numFmtId="171" formatCode="[$-409]mmm\.\ d\,\ yyyy;@"/>
    <numFmt numFmtId="172" formatCode="0.00000"/>
    <numFmt numFmtId="173" formatCode="0.00%;\-;\-"/>
    <numFmt numFmtId="174" formatCode="#,##0.0000"/>
    <numFmt numFmtId="175" formatCode="#,##0.000"/>
    <numFmt numFmtId="176" formatCode="0.000%"/>
    <numFmt numFmtId="177" formatCode="_(* #,##0_);_(* \(#,##0\);_(* &quot;-&quot;??_);_(@_)"/>
    <numFmt numFmtId="178" formatCode="0.0000000"/>
    <numFmt numFmtId="179" formatCode="0.000000"/>
  </numFmts>
  <fonts count="27">
    <font>
      <sz val="11"/>
      <color theme="1"/>
      <name val="Calibri"/>
      <family val="2"/>
      <scheme val="minor"/>
    </font>
    <font>
      <sz val="12"/>
      <color rgb="FF002060"/>
      <name val="Times New Roman"/>
      <family val="1"/>
    </font>
    <font>
      <sz val="12"/>
      <color theme="1"/>
      <name val="Times New Roman"/>
      <family val="1"/>
    </font>
    <font>
      <b/>
      <sz val="14"/>
      <color rgb="FF002060"/>
      <name val="Times New Roman"/>
      <family val="1"/>
    </font>
    <font>
      <i/>
      <sz val="12"/>
      <color rgb="FF002060"/>
      <name val="Times New Roman"/>
      <family val="1"/>
    </font>
    <font>
      <sz val="12"/>
      <name val="Times New Roman"/>
      <family val="1"/>
    </font>
    <font>
      <b/>
      <i/>
      <sz val="12"/>
      <color rgb="FF002060"/>
      <name val="Times New Roman"/>
      <family val="1"/>
    </font>
    <font>
      <b/>
      <sz val="12"/>
      <color rgb="FF002060"/>
      <name val="Times New Roman"/>
      <family val="1"/>
    </font>
    <font>
      <sz val="12"/>
      <color rgb="FF002060"/>
      <name val="TimesNewRomanPSMT"/>
    </font>
    <font>
      <b/>
      <i/>
      <vertAlign val="subscript"/>
      <sz val="12"/>
      <color rgb="FF002060"/>
      <name val="Times New Roman"/>
      <family val="1"/>
    </font>
    <font>
      <i/>
      <vertAlign val="subscript"/>
      <sz val="12"/>
      <color rgb="FF002060"/>
      <name val="Times New Roman"/>
      <family val="1"/>
    </font>
    <font>
      <sz val="14.4"/>
      <color rgb="FF002060"/>
      <name val="Times New Roman"/>
      <family val="1"/>
    </font>
    <font>
      <b/>
      <sz val="12"/>
      <name val="Times New Roman"/>
      <family val="1"/>
    </font>
    <font>
      <sz val="11"/>
      <color theme="1"/>
      <name val="Calibri"/>
      <family val="2"/>
      <scheme val="minor"/>
    </font>
    <font>
      <sz val="11"/>
      <name val="Calibri"/>
      <family val="2"/>
      <scheme val="minor"/>
    </font>
    <font>
      <sz val="12"/>
      <color rgb="FF00B050"/>
      <name val="Times New Roman"/>
      <family val="1"/>
    </font>
    <font>
      <b/>
      <sz val="12"/>
      <color theme="1"/>
      <name val="Times New Roman"/>
      <family val="1"/>
    </font>
    <font>
      <sz val="10.5"/>
      <color theme="1"/>
      <name val="Calibri"/>
      <family val="2"/>
    </font>
    <font>
      <sz val="9"/>
      <color theme="1"/>
      <name val="Calibri"/>
      <family val="2"/>
    </font>
    <font>
      <sz val="12"/>
      <color theme="1"/>
      <name val="Calibri"/>
      <family val="2"/>
      <scheme val="minor"/>
    </font>
    <font>
      <sz val="12"/>
      <color theme="1"/>
      <name val="Symbol"/>
      <family val="1"/>
      <charset val="2"/>
    </font>
    <font>
      <sz val="7"/>
      <color theme="1"/>
      <name val="Times New Roman"/>
      <family val="1"/>
    </font>
    <font>
      <i/>
      <sz val="12"/>
      <name val="Times New Roman"/>
      <family val="1"/>
    </font>
    <font>
      <u/>
      <sz val="12"/>
      <name val="Times New Roman"/>
      <family val="1"/>
    </font>
    <font>
      <i/>
      <sz val="12"/>
      <color rgb="FF0070C0"/>
      <name val="Times New Roman"/>
      <family val="1"/>
    </font>
    <font>
      <sz val="11"/>
      <name val="Times New Roman"/>
      <family val="1"/>
    </font>
    <font>
      <i/>
      <sz val="12"/>
      <color theme="1"/>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gradientFill degree="90">
        <stop position="0">
          <color theme="0"/>
        </stop>
        <stop position="1">
          <color theme="0"/>
        </stop>
      </gradient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s>
  <cellStyleXfs count="3">
    <xf numFmtId="0" fontId="0" fillId="0" borderId="0"/>
    <xf numFmtId="9" fontId="13" fillId="0" borderId="0" applyFont="0" applyFill="0" applyBorder="0" applyAlignment="0" applyProtection="0"/>
    <xf numFmtId="164" fontId="13" fillId="0" borderId="0" applyFont="0" applyFill="0" applyBorder="0" applyAlignment="0" applyProtection="0"/>
  </cellStyleXfs>
  <cellXfs count="332">
    <xf numFmtId="0" fontId="0" fillId="0" borderId="0" xfId="0"/>
    <xf numFmtId="0" fontId="2" fillId="0" borderId="0" xfId="0" applyFont="1"/>
    <xf numFmtId="0" fontId="3" fillId="3" borderId="0" xfId="0" applyFont="1" applyFill="1"/>
    <xf numFmtId="0" fontId="2" fillId="3" borderId="0" xfId="0" applyFont="1" applyFill="1"/>
    <xf numFmtId="0" fontId="1" fillId="3" borderId="0" xfId="0" applyFont="1" applyFill="1"/>
    <xf numFmtId="0" fontId="4" fillId="3" borderId="0" xfId="0" applyFont="1" applyFill="1"/>
    <xf numFmtId="0" fontId="1" fillId="3" borderId="0" xfId="0" quotePrefix="1" applyFont="1" applyFill="1" applyAlignment="1">
      <alignment vertical="center"/>
    </xf>
    <xf numFmtId="0" fontId="5" fillId="0" borderId="0" xfId="0" applyFont="1"/>
    <xf numFmtId="0" fontId="1" fillId="0" borderId="0" xfId="0" applyFont="1"/>
    <xf numFmtId="0" fontId="1" fillId="2" borderId="0" xfId="0" applyFont="1" applyFill="1"/>
    <xf numFmtId="0" fontId="1" fillId="2" borderId="0" xfId="0" applyFont="1" applyFill="1" applyAlignment="1"/>
    <xf numFmtId="0" fontId="2" fillId="0" borderId="0" xfId="0" applyFont="1" applyAlignment="1"/>
    <xf numFmtId="0" fontId="1" fillId="3" borderId="0" xfId="0" applyFont="1" applyFill="1" applyAlignment="1"/>
    <xf numFmtId="0" fontId="1" fillId="3" borderId="0" xfId="0" quotePrefix="1" applyFont="1" applyFill="1" applyAlignment="1"/>
    <xf numFmtId="0" fontId="6" fillId="3" borderId="0" xfId="0" applyFont="1" applyFill="1"/>
    <xf numFmtId="0" fontId="7"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3" fontId="1" fillId="2" borderId="1" xfId="0" applyNumberFormat="1" applyFont="1" applyFill="1" applyBorder="1" applyAlignment="1">
      <alignment horizontal="center" vertical="center"/>
    </xf>
    <xf numFmtId="0" fontId="7" fillId="2" borderId="1" xfId="0" applyFont="1" applyFill="1" applyBorder="1" applyAlignment="1">
      <alignment horizontal="center" wrapText="1"/>
    </xf>
    <xf numFmtId="10" fontId="1" fillId="2" borderId="1" xfId="0" applyNumberFormat="1" applyFont="1" applyFill="1" applyBorder="1" applyAlignment="1">
      <alignment horizontal="center" vertical="center"/>
    </xf>
    <xf numFmtId="0" fontId="1" fillId="3" borderId="0" xfId="0" applyFont="1" applyFill="1" applyAlignment="1">
      <alignment wrapText="1"/>
    </xf>
    <xf numFmtId="0" fontId="1" fillId="2" borderId="1" xfId="0"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1" fillId="2" borderId="0" xfId="0" applyFont="1" applyFill="1" applyBorder="1" applyAlignment="1">
      <alignment vertical="center" wrapText="1"/>
    </xf>
    <xf numFmtId="3" fontId="1" fillId="2" borderId="0" xfId="0" applyNumberFormat="1" applyFont="1" applyFill="1" applyAlignment="1"/>
    <xf numFmtId="3" fontId="1" fillId="2" borderId="0" xfId="0" applyNumberFormat="1" applyFont="1" applyFill="1"/>
    <xf numFmtId="0" fontId="1" fillId="2" borderId="0" xfId="0" applyFont="1" applyFill="1" applyAlignment="1">
      <alignment horizontal="center"/>
    </xf>
    <xf numFmtId="0" fontId="1" fillId="2" borderId="0" xfId="0" applyFont="1" applyFill="1" applyAlignment="1">
      <alignment wrapText="1"/>
    </xf>
    <xf numFmtId="0" fontId="1" fillId="2" borderId="0" xfId="0" applyFont="1" applyFill="1" applyAlignment="1">
      <alignment horizontal="left"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xf>
    <xf numFmtId="167" fontId="1" fillId="2" borderId="1" xfId="0" applyNumberFormat="1" applyFont="1" applyFill="1" applyBorder="1" applyAlignment="1">
      <alignment horizontal="center" vertical="center"/>
    </xf>
    <xf numFmtId="0" fontId="1" fillId="2" borderId="0" xfId="0" applyFont="1" applyFill="1" applyAlignment="1">
      <alignment vertical="center"/>
    </xf>
    <xf numFmtId="3" fontId="7" fillId="2" borderId="1" xfId="0" applyNumberFormat="1" applyFont="1" applyFill="1" applyBorder="1" applyAlignment="1">
      <alignment horizontal="center" vertical="center"/>
    </xf>
    <xf numFmtId="0" fontId="1" fillId="2" borderId="0" xfId="0" applyFont="1" applyFill="1" applyBorder="1" applyAlignment="1">
      <alignment horizontal="center" vertical="center"/>
    </xf>
    <xf numFmtId="0" fontId="7" fillId="2" borderId="0" xfId="0" applyFont="1" applyFill="1" applyBorder="1" applyAlignment="1">
      <alignment horizontal="center" vertical="center"/>
    </xf>
    <xf numFmtId="0" fontId="1" fillId="2" borderId="1" xfId="0" applyFont="1" applyFill="1" applyBorder="1" applyAlignment="1">
      <alignment vertical="center"/>
    </xf>
    <xf numFmtId="168" fontId="1" fillId="2" borderId="1" xfId="0" applyNumberFormat="1" applyFont="1" applyFill="1" applyBorder="1" applyAlignment="1">
      <alignment horizontal="center" vertical="center"/>
    </xf>
    <xf numFmtId="2" fontId="1" fillId="2" borderId="1" xfId="0" applyNumberFormat="1" applyFont="1" applyFill="1" applyBorder="1" applyAlignment="1">
      <alignment horizontal="center" vertical="center" wrapText="1"/>
    </xf>
    <xf numFmtId="2" fontId="1"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7" fillId="2" borderId="2" xfId="0" applyFont="1" applyFill="1" applyBorder="1" applyAlignment="1">
      <alignment horizontal="center" vertical="center"/>
    </xf>
    <xf numFmtId="0" fontId="1" fillId="2" borderId="3" xfId="0" applyFont="1" applyFill="1" applyBorder="1" applyAlignment="1">
      <alignment horizontal="center" vertical="center"/>
    </xf>
    <xf numFmtId="9" fontId="1" fillId="2" borderId="1" xfId="0" applyNumberFormat="1" applyFont="1" applyFill="1" applyBorder="1" applyAlignment="1">
      <alignment horizontal="center"/>
    </xf>
    <xf numFmtId="165" fontId="1" fillId="2" borderId="3" xfId="0" applyNumberFormat="1" applyFont="1" applyFill="1" applyBorder="1" applyAlignment="1">
      <alignment horizontal="center"/>
    </xf>
    <xf numFmtId="165" fontId="1" fillId="2" borderId="1" xfId="0" applyNumberFormat="1" applyFont="1" applyFill="1" applyBorder="1" applyAlignment="1">
      <alignment horizontal="center"/>
    </xf>
    <xf numFmtId="3" fontId="1" fillId="2" borderId="1" xfId="0" applyNumberFormat="1" applyFont="1" applyFill="1" applyBorder="1" applyAlignment="1">
      <alignment horizontal="center"/>
    </xf>
    <xf numFmtId="3" fontId="1" fillId="2" borderId="1" xfId="0" applyNumberFormat="1" applyFont="1" applyFill="1" applyBorder="1"/>
    <xf numFmtId="3" fontId="1" fillId="2" borderId="1" xfId="0" applyNumberFormat="1" applyFont="1" applyFill="1" applyBorder="1" applyAlignment="1"/>
    <xf numFmtId="3" fontId="1" fillId="2" borderId="0" xfId="0" applyNumberFormat="1" applyFont="1" applyFill="1" applyBorder="1"/>
    <xf numFmtId="0" fontId="1" fillId="2" borderId="5" xfId="0" applyFont="1" applyFill="1" applyBorder="1"/>
    <xf numFmtId="0" fontId="1" fillId="2" borderId="2" xfId="0" applyFont="1" applyFill="1" applyBorder="1" applyAlignment="1">
      <alignment vertical="center"/>
    </xf>
    <xf numFmtId="0" fontId="4" fillId="2" borderId="9" xfId="0" applyFont="1" applyFill="1" applyBorder="1" applyAlignment="1">
      <alignment vertical="center"/>
    </xf>
    <xf numFmtId="0" fontId="1" fillId="2" borderId="10" xfId="0" applyFont="1" applyFill="1" applyBorder="1"/>
    <xf numFmtId="0" fontId="4" fillId="2" borderId="5" xfId="0" applyFont="1" applyFill="1" applyBorder="1" applyAlignment="1">
      <alignment vertical="center"/>
    </xf>
    <xf numFmtId="0" fontId="1" fillId="2" borderId="2" xfId="0" applyFont="1" applyFill="1" applyBorder="1"/>
    <xf numFmtId="0" fontId="7" fillId="2" borderId="3" xfId="0" applyFont="1" applyFill="1" applyBorder="1" applyAlignment="1">
      <alignment horizontal="center" wrapText="1"/>
    </xf>
    <xf numFmtId="0" fontId="7" fillId="2" borderId="7" xfId="0" applyFont="1" applyFill="1" applyBorder="1" applyAlignment="1">
      <alignment horizontal="center" vertical="center" wrapText="1"/>
    </xf>
    <xf numFmtId="0" fontId="7" fillId="2" borderId="6" xfId="0" applyFont="1" applyFill="1" applyBorder="1" applyAlignment="1">
      <alignment horizontal="center" vertical="center" wrapText="1"/>
    </xf>
    <xf numFmtId="9" fontId="1" fillId="2" borderId="1" xfId="0" applyNumberFormat="1" applyFont="1" applyFill="1" applyBorder="1" applyAlignment="1">
      <alignment horizontal="center" vertical="center"/>
    </xf>
    <xf numFmtId="0" fontId="7" fillId="2" borderId="4" xfId="0" applyFont="1" applyFill="1" applyBorder="1" applyAlignment="1">
      <alignment horizontal="center" wrapText="1"/>
    </xf>
    <xf numFmtId="166" fontId="1" fillId="2" borderId="1" xfId="0" applyNumberFormat="1" applyFont="1" applyFill="1" applyBorder="1" applyAlignment="1">
      <alignment horizontal="center"/>
    </xf>
    <xf numFmtId="0" fontId="7" fillId="2" borderId="1" xfId="0" applyFont="1" applyFill="1" applyBorder="1" applyAlignment="1">
      <alignment vertical="center"/>
    </xf>
    <xf numFmtId="17" fontId="1" fillId="2" borderId="1" xfId="0" quotePrefix="1" applyNumberFormat="1" applyFont="1" applyFill="1" applyBorder="1" applyAlignment="1">
      <alignment horizontal="center" vertical="center" wrapText="1"/>
    </xf>
    <xf numFmtId="9" fontId="1" fillId="2" borderId="3" xfId="0" applyNumberFormat="1" applyFont="1" applyFill="1" applyBorder="1" applyAlignment="1">
      <alignment horizontal="center"/>
    </xf>
    <xf numFmtId="9" fontId="1" fillId="3" borderId="1" xfId="0" applyNumberFormat="1" applyFont="1" applyFill="1" applyBorder="1" applyAlignment="1">
      <alignment horizontal="center"/>
    </xf>
    <xf numFmtId="165" fontId="1" fillId="2" borderId="1" xfId="0" applyNumberFormat="1" applyFont="1" applyFill="1" applyBorder="1" applyAlignment="1">
      <alignment horizontal="center" vertical="center" wrapText="1"/>
    </xf>
    <xf numFmtId="0" fontId="1" fillId="2" borderId="0" xfId="0" quotePrefix="1" applyFont="1" applyFill="1" applyAlignment="1"/>
    <xf numFmtId="0" fontId="1" fillId="2" borderId="1" xfId="0" applyFont="1" applyFill="1" applyBorder="1" applyAlignment="1">
      <alignment horizontal="center"/>
    </xf>
    <xf numFmtId="170" fontId="1" fillId="2" borderId="1" xfId="0" applyNumberFormat="1" applyFont="1" applyFill="1" applyBorder="1" applyAlignment="1">
      <alignment horizontal="center"/>
    </xf>
    <xf numFmtId="0" fontId="1" fillId="2" borderId="5" xfId="0" applyFont="1" applyFill="1" applyBorder="1" applyAlignment="1">
      <alignment horizontal="right" vertical="center"/>
    </xf>
    <xf numFmtId="0" fontId="1" fillId="2" borderId="11" xfId="0" applyFont="1" applyFill="1" applyBorder="1" applyAlignment="1">
      <alignment horizontal="center" vertical="center"/>
    </xf>
    <xf numFmtId="0" fontId="1" fillId="2" borderId="2" xfId="0" applyFont="1" applyFill="1" applyBorder="1" applyAlignment="1">
      <alignment horizontal="left" vertical="center"/>
    </xf>
    <xf numFmtId="3" fontId="1" fillId="2" borderId="2" xfId="0" applyNumberFormat="1" applyFont="1" applyFill="1" applyBorder="1" applyAlignment="1">
      <alignment horizontal="left" vertical="center"/>
    </xf>
    <xf numFmtId="3" fontId="1" fillId="2" borderId="5" xfId="0" applyNumberFormat="1" applyFont="1" applyFill="1" applyBorder="1" applyAlignment="1">
      <alignment horizontal="right" vertical="center"/>
    </xf>
    <xf numFmtId="171" fontId="1" fillId="2" borderId="1" xfId="0" applyNumberFormat="1" applyFont="1" applyFill="1" applyBorder="1" applyAlignment="1">
      <alignment horizontal="center" vertical="center"/>
    </xf>
    <xf numFmtId="0" fontId="5" fillId="0" borderId="0" xfId="0" applyFont="1" applyFill="1" applyBorder="1" applyAlignment="1">
      <alignment vertical="center" wrapText="1"/>
    </xf>
    <xf numFmtId="3"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9" fontId="1" fillId="2" borderId="1" xfId="0" applyNumberFormat="1" applyFont="1" applyFill="1" applyBorder="1" applyAlignment="1">
      <alignment horizontal="left"/>
    </xf>
    <xf numFmtId="166" fontId="1" fillId="2" borderId="1" xfId="0" applyNumberFormat="1" applyFont="1" applyFill="1" applyBorder="1" applyAlignment="1">
      <alignment horizontal="left"/>
    </xf>
    <xf numFmtId="17" fontId="1" fillId="2" borderId="1" xfId="0" quotePrefix="1" applyNumberFormat="1" applyFont="1" applyFill="1" applyBorder="1" applyAlignment="1">
      <alignment horizontal="center" vertical="center"/>
    </xf>
    <xf numFmtId="0" fontId="1" fillId="2" borderId="0" xfId="0" applyFont="1" applyFill="1" applyAlignment="1">
      <alignment horizontal="left" indent="1"/>
    </xf>
    <xf numFmtId="0" fontId="1" fillId="2" borderId="0" xfId="0" applyFont="1" applyFill="1" applyAlignment="1">
      <alignment horizontal="left"/>
    </xf>
    <xf numFmtId="0" fontId="2" fillId="2" borderId="0" xfId="0" applyFont="1" applyFill="1"/>
    <xf numFmtId="3" fontId="1"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3" fontId="1" fillId="2" borderId="1" xfId="0" applyNumberFormat="1" applyFont="1" applyFill="1" applyBorder="1" applyAlignment="1">
      <alignment horizontal="center" vertical="center"/>
    </xf>
    <xf numFmtId="0" fontId="5" fillId="0" borderId="0" xfId="0" applyFont="1" applyFill="1"/>
    <xf numFmtId="0" fontId="2" fillId="0" borderId="0" xfId="0" applyFont="1" applyFill="1"/>
    <xf numFmtId="0" fontId="2" fillId="0" borderId="0" xfId="0" applyFont="1" applyFill="1" applyAlignment="1">
      <alignment horizontal="center" wrapText="1"/>
    </xf>
    <xf numFmtId="0" fontId="2" fillId="0" borderId="0" xfId="0" applyFont="1" applyFill="1" applyAlignment="1">
      <alignment horizontal="center"/>
    </xf>
    <xf numFmtId="3" fontId="2" fillId="0" borderId="0" xfId="0" applyNumberFormat="1" applyFont="1" applyFill="1" applyAlignment="1">
      <alignment horizontal="center"/>
    </xf>
    <xf numFmtId="3" fontId="2" fillId="0" borderId="0" xfId="0" applyNumberFormat="1" applyFont="1" applyFill="1" applyAlignment="1">
      <alignment horizontal="left"/>
    </xf>
    <xf numFmtId="0" fontId="5" fillId="4" borderId="7" xfId="0" applyFont="1" applyFill="1" applyBorder="1"/>
    <xf numFmtId="0" fontId="5" fillId="4" borderId="12" xfId="0" applyFont="1" applyFill="1" applyBorder="1"/>
    <xf numFmtId="0" fontId="5" fillId="4" borderId="8" xfId="0" applyFont="1" applyFill="1" applyBorder="1"/>
    <xf numFmtId="0" fontId="5" fillId="4" borderId="6" xfId="0" applyFont="1" applyFill="1" applyBorder="1"/>
    <xf numFmtId="0" fontId="5" fillId="4" borderId="0" xfId="0" applyFont="1" applyFill="1"/>
    <xf numFmtId="0" fontId="5" fillId="4" borderId="13" xfId="0" applyFont="1" applyFill="1" applyBorder="1"/>
    <xf numFmtId="0" fontId="5" fillId="4" borderId="9" xfId="0" applyFont="1" applyFill="1" applyBorder="1"/>
    <xf numFmtId="0" fontId="5" fillId="4" borderId="14" xfId="0" applyFont="1" applyFill="1" applyBorder="1"/>
    <xf numFmtId="0" fontId="5" fillId="4" borderId="10" xfId="0" applyFont="1" applyFill="1" applyBorder="1"/>
    <xf numFmtId="0" fontId="2" fillId="4" borderId="0" xfId="0" applyFont="1" applyFill="1"/>
    <xf numFmtId="0" fontId="2" fillId="0" borderId="14" xfId="0" applyFont="1" applyFill="1" applyBorder="1" applyAlignment="1">
      <alignment horizontal="centerContinuous"/>
    </xf>
    <xf numFmtId="0" fontId="2" fillId="0" borderId="14" xfId="0" applyFont="1" applyFill="1" applyBorder="1" applyAlignment="1">
      <alignment horizontal="center"/>
    </xf>
    <xf numFmtId="165" fontId="5" fillId="0" borderId="0" xfId="0" applyNumberFormat="1" applyFont="1" applyFill="1" applyAlignment="1">
      <alignment horizontal="center"/>
    </xf>
    <xf numFmtId="166" fontId="5" fillId="0" borderId="0" xfId="0" applyNumberFormat="1" applyFont="1" applyFill="1" applyAlignment="1">
      <alignment horizontal="center"/>
    </xf>
    <xf numFmtId="172" fontId="2" fillId="0" borderId="0" xfId="0" applyNumberFormat="1" applyFont="1" applyFill="1" applyAlignment="1">
      <alignment horizontal="center"/>
    </xf>
    <xf numFmtId="173" fontId="2" fillId="0" borderId="0" xfId="1" applyNumberFormat="1" applyFont="1" applyFill="1" applyAlignment="1">
      <alignment horizontal="center"/>
    </xf>
    <xf numFmtId="165" fontId="15" fillId="0" borderId="0" xfId="0" applyNumberFormat="1" applyFont="1" applyFill="1" applyAlignment="1">
      <alignment horizontal="center"/>
    </xf>
    <xf numFmtId="166" fontId="15" fillId="0" borderId="0" xfId="0" applyNumberFormat="1" applyFont="1" applyFill="1" applyAlignment="1">
      <alignment horizontal="center"/>
    </xf>
    <xf numFmtId="172" fontId="2" fillId="0" borderId="14" xfId="0" applyNumberFormat="1" applyFont="1" applyFill="1" applyBorder="1" applyAlignment="1">
      <alignment horizontal="center"/>
    </xf>
    <xf numFmtId="173" fontId="2" fillId="0" borderId="14" xfId="1" applyNumberFormat="1" applyFont="1" applyFill="1" applyBorder="1" applyAlignment="1">
      <alignment horizontal="center"/>
    </xf>
    <xf numFmtId="9" fontId="15" fillId="0" borderId="0" xfId="0" applyNumberFormat="1" applyFont="1" applyFill="1" applyAlignment="1">
      <alignment horizontal="center"/>
    </xf>
    <xf numFmtId="9" fontId="5" fillId="0" borderId="0" xfId="0" applyNumberFormat="1" applyFont="1" applyFill="1" applyAlignment="1">
      <alignment horizontal="left"/>
    </xf>
    <xf numFmtId="167" fontId="2" fillId="0" borderId="0" xfId="0" applyNumberFormat="1" applyFont="1" applyFill="1" applyAlignment="1">
      <alignment horizontal="center"/>
    </xf>
    <xf numFmtId="165" fontId="5" fillId="0" borderId="14" xfId="0" applyNumberFormat="1" applyFont="1" applyFill="1" applyBorder="1" applyAlignment="1">
      <alignment horizontal="center"/>
    </xf>
    <xf numFmtId="166" fontId="5" fillId="0" borderId="14" xfId="0" applyNumberFormat="1" applyFont="1" applyFill="1" applyBorder="1" applyAlignment="1">
      <alignment horizontal="center"/>
    </xf>
    <xf numFmtId="0" fontId="5" fillId="0" borderId="0" xfId="0" applyFont="1" applyFill="1" applyBorder="1" applyAlignment="1">
      <alignment horizontal="center" vertical="center"/>
    </xf>
    <xf numFmtId="174" fontId="5" fillId="0" borderId="0" xfId="0" applyNumberFormat="1" applyFont="1" applyFill="1" applyBorder="1" applyAlignment="1">
      <alignment horizontal="center" vertical="center"/>
    </xf>
    <xf numFmtId="3" fontId="5" fillId="0" borderId="0" xfId="0" applyNumberFormat="1" applyFont="1" applyFill="1" applyBorder="1" applyAlignment="1">
      <alignment horizontal="center" vertical="center"/>
    </xf>
    <xf numFmtId="0" fontId="5" fillId="0" borderId="14" xfId="0" applyFont="1" applyFill="1" applyBorder="1" applyAlignment="1">
      <alignment horizontal="center" wrapText="1"/>
    </xf>
    <xf numFmtId="0" fontId="5" fillId="0" borderId="14" xfId="0" applyFont="1" applyFill="1" applyBorder="1" applyAlignment="1">
      <alignment horizontal="center"/>
    </xf>
    <xf numFmtId="0" fontId="14" fillId="0" borderId="0" xfId="0" applyFont="1" applyFill="1"/>
    <xf numFmtId="0" fontId="5" fillId="0" borderId="0" xfId="0" applyFont="1" applyFill="1" applyAlignment="1">
      <alignment horizontal="center"/>
    </xf>
    <xf numFmtId="3" fontId="5" fillId="0" borderId="0" xfId="0" applyNumberFormat="1" applyFont="1" applyFill="1" applyAlignment="1">
      <alignment horizontal="center"/>
    </xf>
    <xf numFmtId="0" fontId="5" fillId="0" borderId="0" xfId="0" applyFont="1" applyFill="1" applyAlignment="1">
      <alignment horizontal="center"/>
    </xf>
    <xf numFmtId="166" fontId="5" fillId="0" borderId="0" xfId="1" applyNumberFormat="1" applyFont="1" applyFill="1" applyAlignment="1">
      <alignment horizontal="center"/>
    </xf>
    <xf numFmtId="4" fontId="5" fillId="0" borderId="0" xfId="0" applyNumberFormat="1" applyFont="1" applyFill="1" applyAlignment="1">
      <alignment horizontal="center"/>
    </xf>
    <xf numFmtId="166" fontId="5" fillId="0" borderId="14" xfId="1" applyNumberFormat="1" applyFont="1" applyFill="1" applyBorder="1" applyAlignment="1">
      <alignment horizontal="center"/>
    </xf>
    <xf numFmtId="4" fontId="5" fillId="0" borderId="14" xfId="0" applyNumberFormat="1" applyFont="1" applyFill="1" applyBorder="1" applyAlignment="1">
      <alignment horizontal="center"/>
    </xf>
    <xf numFmtId="0" fontId="1" fillId="0" borderId="0" xfId="0" applyFont="1" applyFill="1"/>
    <xf numFmtId="0" fontId="17" fillId="0" borderId="0" xfId="0" applyFont="1" applyFill="1" applyAlignment="1">
      <alignment horizontal="center" vertical="center" wrapText="1"/>
    </xf>
    <xf numFmtId="0" fontId="18" fillId="0" borderId="0" xfId="0" applyFont="1" applyFill="1" applyAlignment="1">
      <alignment horizontal="center" vertical="center" wrapText="1"/>
    </xf>
    <xf numFmtId="0" fontId="2" fillId="0" borderId="0" xfId="0" applyFont="1" applyFill="1" applyAlignment="1">
      <alignment horizontal="left"/>
    </xf>
    <xf numFmtId="0" fontId="19" fillId="0" borderId="0" xfId="0" applyFont="1" applyFill="1"/>
    <xf numFmtId="37" fontId="2" fillId="0" borderId="0" xfId="0" applyNumberFormat="1" applyFont="1" applyFill="1" applyAlignment="1">
      <alignment horizontal="center"/>
    </xf>
    <xf numFmtId="0" fontId="5" fillId="0" borderId="0" xfId="0" applyFont="1" applyFill="1" applyAlignment="1">
      <alignment horizontal="center"/>
    </xf>
    <xf numFmtId="0" fontId="2" fillId="0" borderId="0" xfId="0" applyFont="1" applyAlignment="1">
      <alignment vertical="center"/>
    </xf>
    <xf numFmtId="0" fontId="20" fillId="0" borderId="0" xfId="0" applyFont="1" applyAlignment="1">
      <alignment vertical="center"/>
    </xf>
    <xf numFmtId="0" fontId="2" fillId="0" borderId="0" xfId="0" applyFont="1" applyFill="1" applyBorder="1"/>
    <xf numFmtId="3" fontId="2" fillId="0" borderId="0" xfId="0" applyNumberFormat="1" applyFont="1" applyFill="1" applyBorder="1"/>
    <xf numFmtId="0" fontId="2" fillId="0" borderId="0" xfId="0" applyFont="1" applyFill="1" applyBorder="1" applyAlignment="1">
      <alignment horizontal="center"/>
    </xf>
    <xf numFmtId="3" fontId="2" fillId="0" borderId="0" xfId="0" applyNumberFormat="1" applyFont="1" applyFill="1" applyBorder="1" applyAlignment="1">
      <alignment horizontal="center"/>
    </xf>
    <xf numFmtId="3" fontId="2" fillId="0" borderId="14" xfId="0" applyNumberFormat="1" applyFont="1" applyFill="1" applyBorder="1" applyAlignment="1">
      <alignment horizontal="center"/>
    </xf>
    <xf numFmtId="0" fontId="5" fillId="0" borderId="0" xfId="0" applyFont="1" applyFill="1" applyBorder="1"/>
    <xf numFmtId="166" fontId="2" fillId="0" borderId="0" xfId="1" applyNumberFormat="1" applyFont="1" applyFill="1" applyBorder="1"/>
    <xf numFmtId="0" fontId="2" fillId="0" borderId="14" xfId="0" applyFont="1" applyFill="1" applyBorder="1"/>
    <xf numFmtId="3" fontId="2" fillId="0" borderId="14" xfId="0" applyNumberFormat="1" applyFont="1" applyFill="1" applyBorder="1"/>
    <xf numFmtId="0" fontId="2" fillId="0" borderId="0" xfId="0" applyFont="1" applyFill="1" applyBorder="1" applyAlignment="1">
      <alignment horizontal="left"/>
    </xf>
    <xf numFmtId="0" fontId="2" fillId="0" borderId="0" xfId="0" applyFont="1" applyFill="1" applyBorder="1" applyAlignment="1"/>
    <xf numFmtId="166" fontId="2" fillId="0" borderId="0" xfId="1" applyNumberFormat="1" applyFont="1" applyFill="1" applyBorder="1" applyAlignment="1">
      <alignment horizontal="centerContinuous"/>
    </xf>
    <xf numFmtId="175" fontId="5" fillId="0" borderId="0" xfId="1" applyNumberFormat="1" applyFont="1" applyFill="1" applyBorder="1" applyAlignment="1">
      <alignment horizontal="center"/>
    </xf>
    <xf numFmtId="175" fontId="5" fillId="0" borderId="14" xfId="1" applyNumberFormat="1" applyFont="1" applyFill="1" applyBorder="1" applyAlignment="1">
      <alignment horizontal="center"/>
    </xf>
    <xf numFmtId="175" fontId="5" fillId="0" borderId="0" xfId="0" applyNumberFormat="1" applyFont="1" applyFill="1" applyAlignment="1">
      <alignment horizontal="center"/>
    </xf>
    <xf numFmtId="0" fontId="22" fillId="0" borderId="0" xfId="0" applyFont="1" applyFill="1"/>
    <xf numFmtId="0" fontId="5" fillId="0" borderId="0" xfId="0" applyFont="1" applyFill="1" applyAlignment="1"/>
    <xf numFmtId="0" fontId="2" fillId="0" borderId="0" xfId="0" applyFont="1" applyFill="1" applyAlignment="1">
      <alignment horizontal="centerContinuous"/>
    </xf>
    <xf numFmtId="175" fontId="2" fillId="0" borderId="0" xfId="0" applyNumberFormat="1" applyFont="1" applyAlignment="1">
      <alignment horizontal="center"/>
    </xf>
    <xf numFmtId="174" fontId="5" fillId="0" borderId="0" xfId="0" applyNumberFormat="1" applyFont="1" applyFill="1" applyAlignment="1">
      <alignment horizontal="center"/>
    </xf>
    <xf numFmtId="3" fontId="5" fillId="0" borderId="14" xfId="0" applyNumberFormat="1" applyFont="1" applyFill="1" applyBorder="1" applyAlignment="1">
      <alignment horizontal="center"/>
    </xf>
    <xf numFmtId="175" fontId="5" fillId="0" borderId="14" xfId="0" applyNumberFormat="1" applyFont="1" applyFill="1" applyBorder="1" applyAlignment="1">
      <alignment horizontal="center"/>
    </xf>
    <xf numFmtId="174" fontId="5" fillId="0" borderId="14" xfId="0" applyNumberFormat="1" applyFont="1" applyFill="1" applyBorder="1" applyAlignment="1">
      <alignment horizontal="center"/>
    </xf>
    <xf numFmtId="176" fontId="5" fillId="0" borderId="0" xfId="0" applyNumberFormat="1" applyFont="1" applyFill="1"/>
    <xf numFmtId="0" fontId="5" fillId="0" borderId="1" xfId="0" applyFont="1" applyFill="1" applyBorder="1" applyAlignment="1">
      <alignment horizontal="center"/>
    </xf>
    <xf numFmtId="0" fontId="5" fillId="0" borderId="0" xfId="0" applyFont="1" applyFill="1" applyBorder="1" applyAlignment="1">
      <alignment horizontal="center"/>
    </xf>
    <xf numFmtId="3" fontId="5" fillId="0" borderId="0" xfId="0" applyNumberFormat="1" applyFont="1" applyFill="1" applyBorder="1" applyAlignment="1">
      <alignment horizontal="center"/>
    </xf>
    <xf numFmtId="167" fontId="5" fillId="0" borderId="0" xfId="0" applyNumberFormat="1" applyFont="1" applyFill="1" applyBorder="1" applyAlignment="1">
      <alignment horizontal="center"/>
    </xf>
    <xf numFmtId="10" fontId="5" fillId="0" borderId="0" xfId="1" applyNumberFormat="1" applyFont="1" applyFill="1" applyBorder="1" applyAlignment="1">
      <alignment horizontal="center"/>
    </xf>
    <xf numFmtId="10" fontId="5" fillId="0" borderId="0" xfId="0" applyNumberFormat="1" applyFont="1" applyFill="1" applyAlignment="1">
      <alignment horizontal="center"/>
    </xf>
    <xf numFmtId="10" fontId="5" fillId="0" borderId="0" xfId="0" applyNumberFormat="1" applyFont="1" applyFill="1" applyBorder="1" applyAlignment="1">
      <alignment horizontal="center"/>
    </xf>
    <xf numFmtId="0" fontId="5" fillId="0" borderId="0" xfId="0" applyFont="1" applyFill="1" applyBorder="1" applyAlignment="1">
      <alignment horizontal="left"/>
    </xf>
    <xf numFmtId="10" fontId="2" fillId="0" borderId="0" xfId="0" applyNumberFormat="1" applyFont="1" applyAlignment="1">
      <alignment horizontal="center"/>
    </xf>
    <xf numFmtId="0" fontId="14" fillId="0" borderId="0" xfId="0" applyFont="1" applyFill="1" applyBorder="1"/>
    <xf numFmtId="10" fontId="5" fillId="0" borderId="0" xfId="0" applyNumberFormat="1" applyFont="1" applyAlignment="1">
      <alignment horizontal="center"/>
    </xf>
    <xf numFmtId="167" fontId="5" fillId="0" borderId="14" xfId="0" applyNumberFormat="1" applyFont="1" applyFill="1" applyBorder="1" applyAlignment="1">
      <alignment horizontal="center"/>
    </xf>
    <xf numFmtId="10" fontId="5" fillId="0" borderId="14" xfId="0" applyNumberFormat="1" applyFont="1" applyFill="1" applyBorder="1" applyAlignment="1">
      <alignment horizontal="center"/>
    </xf>
    <xf numFmtId="0" fontId="5" fillId="0" borderId="14" xfId="0" applyFont="1" applyBorder="1" applyAlignment="1">
      <alignment horizontal="center" wrapText="1"/>
    </xf>
    <xf numFmtId="3" fontId="5" fillId="0" borderId="0" xfId="0" applyNumberFormat="1" applyFont="1" applyAlignment="1">
      <alignment horizontal="center"/>
    </xf>
    <xf numFmtId="3" fontId="5" fillId="0" borderId="14" xfId="0" applyNumberFormat="1" applyFont="1" applyBorder="1" applyAlignment="1">
      <alignment horizontal="center"/>
    </xf>
    <xf numFmtId="174" fontId="5" fillId="0" borderId="0" xfId="0" applyNumberFormat="1" applyFont="1" applyAlignment="1">
      <alignment horizontal="center"/>
    </xf>
    <xf numFmtId="174" fontId="5" fillId="0" borderId="14" xfId="0" applyNumberFormat="1" applyFont="1" applyBorder="1" applyAlignment="1">
      <alignment horizontal="center"/>
    </xf>
    <xf numFmtId="3" fontId="5" fillId="0" borderId="0" xfId="0" applyNumberFormat="1" applyFont="1" applyFill="1" applyAlignment="1">
      <alignment horizontal="right"/>
    </xf>
    <xf numFmtId="3" fontId="2" fillId="0" borderId="0" xfId="0" applyNumberFormat="1" applyFont="1"/>
    <xf numFmtId="0" fontId="5" fillId="0" borderId="0" xfId="0" applyFont="1" applyFill="1" applyAlignment="1">
      <alignment horizontal="centerContinuous"/>
    </xf>
    <xf numFmtId="0" fontId="23" fillId="0" borderId="0" xfId="0" applyFont="1" applyFill="1" applyAlignment="1">
      <alignment horizontal="centerContinuous"/>
    </xf>
    <xf numFmtId="0" fontId="5" fillId="0" borderId="14" xfId="0" applyFont="1" applyFill="1" applyBorder="1"/>
    <xf numFmtId="10" fontId="5" fillId="0" borderId="14" xfId="1" applyNumberFormat="1" applyFont="1" applyFill="1" applyBorder="1" applyAlignment="1">
      <alignment horizontal="center"/>
    </xf>
    <xf numFmtId="0" fontId="5" fillId="0" borderId="0" xfId="0" applyFont="1" applyAlignment="1">
      <alignment horizontal="center"/>
    </xf>
    <xf numFmtId="0" fontId="5" fillId="0" borderId="14" xfId="0" quotePrefix="1" applyFont="1" applyFill="1" applyBorder="1" applyAlignment="1">
      <alignment horizontal="center" wrapText="1"/>
    </xf>
    <xf numFmtId="0" fontId="5" fillId="0" borderId="0" xfId="0" applyFont="1" applyFill="1" applyAlignment="1">
      <alignment horizontal="left" vertical="center"/>
    </xf>
    <xf numFmtId="0" fontId="5" fillId="0" borderId="0" xfId="0" applyFont="1" applyFill="1" applyAlignment="1">
      <alignment horizontal="left"/>
    </xf>
    <xf numFmtId="168" fontId="5" fillId="0" borderId="0" xfId="0" applyNumberFormat="1" applyFont="1" applyFill="1" applyAlignment="1">
      <alignment horizontal="center"/>
    </xf>
    <xf numFmtId="2" fontId="5" fillId="0" borderId="0" xfId="0" applyNumberFormat="1" applyFont="1" applyFill="1" applyAlignment="1">
      <alignment horizontal="center"/>
    </xf>
    <xf numFmtId="2" fontId="5" fillId="0" borderId="1" xfId="0" applyNumberFormat="1" applyFont="1" applyFill="1" applyBorder="1" applyAlignment="1">
      <alignment horizontal="center"/>
    </xf>
    <xf numFmtId="167" fontId="5" fillId="0" borderId="0" xfId="0" applyNumberFormat="1" applyFont="1" applyFill="1" applyAlignment="1">
      <alignment horizontal="center"/>
    </xf>
    <xf numFmtId="2" fontId="5" fillId="0" borderId="14" xfId="0" applyNumberFormat="1" applyFont="1" applyFill="1" applyBorder="1" applyAlignment="1">
      <alignment horizontal="center"/>
    </xf>
    <xf numFmtId="0" fontId="5" fillId="0" borderId="14" xfId="0" applyFont="1" applyFill="1" applyBorder="1" applyAlignment="1">
      <alignment horizontal="center"/>
    </xf>
    <xf numFmtId="172" fontId="5" fillId="0" borderId="0" xfId="0" applyNumberFormat="1" applyFont="1" applyAlignment="1">
      <alignment horizontal="center"/>
    </xf>
    <xf numFmtId="0" fontId="2" fillId="0" borderId="0" xfId="0" applyFont="1" applyAlignment="1">
      <alignment horizontal="center"/>
    </xf>
    <xf numFmtId="0" fontId="7" fillId="0" borderId="0" xfId="0" applyFont="1"/>
    <xf numFmtId="0" fontId="16" fillId="0" borderId="0" xfId="0" applyFont="1"/>
    <xf numFmtId="172" fontId="2" fillId="0" borderId="0" xfId="0" applyNumberFormat="1" applyFont="1" applyAlignment="1">
      <alignment horizontal="center"/>
    </xf>
    <xf numFmtId="166" fontId="5" fillId="0" borderId="0" xfId="1" applyNumberFormat="1" applyFont="1" applyFill="1"/>
    <xf numFmtId="175" fontId="5" fillId="0" borderId="1" xfId="0" applyNumberFormat="1" applyFont="1" applyFill="1" applyBorder="1" applyAlignment="1">
      <alignment horizontal="center"/>
    </xf>
    <xf numFmtId="175" fontId="5" fillId="0" borderId="0" xfId="0" applyNumberFormat="1" applyFont="1" applyFill="1" applyBorder="1" applyAlignment="1">
      <alignment horizontal="center"/>
    </xf>
    <xf numFmtId="3" fontId="22" fillId="0" borderId="0" xfId="0" applyNumberFormat="1" applyFont="1" applyFill="1" applyBorder="1" applyAlignment="1">
      <alignment horizontal="center"/>
    </xf>
    <xf numFmtId="0" fontId="5" fillId="0" borderId="14" xfId="0" applyFont="1" applyBorder="1"/>
    <xf numFmtId="0" fontId="2" fillId="0" borderId="14" xfId="0" applyFont="1" applyBorder="1"/>
    <xf numFmtId="0" fontId="5" fillId="0" borderId="14" xfId="0" applyFont="1" applyFill="1" applyBorder="1" applyAlignment="1">
      <alignment horizontal="center" vertical="center"/>
    </xf>
    <xf numFmtId="0" fontId="2" fillId="0" borderId="0" xfId="0" applyFont="1" applyBorder="1"/>
    <xf numFmtId="0" fontId="5" fillId="0" borderId="0" xfId="0" applyFont="1" applyBorder="1"/>
    <xf numFmtId="0" fontId="5" fillId="0" borderId="0" xfId="0" applyFont="1" applyFill="1" applyBorder="1" applyAlignment="1">
      <alignment horizontal="center" vertical="center" wrapText="1"/>
    </xf>
    <xf numFmtId="3" fontId="5" fillId="0" borderId="0" xfId="0" applyNumberFormat="1" applyFont="1" applyFill="1" applyBorder="1" applyAlignment="1">
      <alignment horizontal="center" vertical="center" wrapText="1"/>
    </xf>
    <xf numFmtId="3" fontId="5" fillId="0" borderId="0" xfId="0" applyNumberFormat="1" applyFont="1" applyFill="1" applyBorder="1"/>
    <xf numFmtId="0" fontId="5" fillId="0" borderId="14" xfId="0" applyFont="1" applyFill="1" applyBorder="1" applyAlignment="1">
      <alignment horizontal="center" wrapText="1"/>
    </xf>
    <xf numFmtId="0" fontId="5" fillId="0" borderId="14" xfId="0" applyFont="1" applyFill="1" applyBorder="1" applyAlignment="1">
      <alignment horizontal="center" vertical="center" wrapText="1"/>
    </xf>
    <xf numFmtId="3" fontId="5" fillId="0" borderId="14" xfId="0" applyNumberFormat="1" applyFont="1" applyFill="1" applyBorder="1" applyAlignment="1">
      <alignment horizontal="center" vertical="center" wrapText="1"/>
    </xf>
    <xf numFmtId="174" fontId="5" fillId="0" borderId="0" xfId="2" applyNumberFormat="1" applyFont="1" applyFill="1" applyBorder="1" applyAlignment="1">
      <alignment horizontal="center"/>
    </xf>
    <xf numFmtId="174" fontId="5" fillId="0" borderId="14" xfId="2" applyNumberFormat="1" applyFont="1" applyFill="1" applyBorder="1" applyAlignment="1">
      <alignment horizontal="center"/>
    </xf>
    <xf numFmtId="0" fontId="12" fillId="0" borderId="0" xfId="0" applyFont="1" applyFill="1" applyAlignment="1">
      <alignment horizontal="center"/>
    </xf>
    <xf numFmtId="3" fontId="22" fillId="0" borderId="0" xfId="0" applyNumberFormat="1" applyFont="1" applyFill="1" applyAlignment="1">
      <alignment horizontal="center"/>
    </xf>
    <xf numFmtId="0" fontId="5" fillId="0" borderId="14" xfId="0" applyFont="1" applyFill="1" applyBorder="1"/>
    <xf numFmtId="4" fontId="5" fillId="0" borderId="0" xfId="0" applyNumberFormat="1" applyFont="1" applyFill="1" applyBorder="1" applyAlignment="1">
      <alignment horizontal="center"/>
    </xf>
    <xf numFmtId="3" fontId="5" fillId="0" borderId="0" xfId="2" applyNumberFormat="1" applyFont="1" applyFill="1" applyBorder="1" applyAlignment="1">
      <alignment horizontal="center"/>
    </xf>
    <xf numFmtId="3" fontId="5" fillId="0" borderId="14" xfId="2" applyNumberFormat="1" applyFont="1" applyFill="1" applyBorder="1" applyAlignment="1">
      <alignment horizontal="center"/>
    </xf>
    <xf numFmtId="37" fontId="5" fillId="0" borderId="0" xfId="2" applyNumberFormat="1" applyFont="1" applyFill="1" applyAlignment="1">
      <alignment horizontal="center"/>
    </xf>
    <xf numFmtId="0" fontId="5" fillId="0" borderId="0" xfId="0" quotePrefix="1" applyFont="1" applyFill="1"/>
    <xf numFmtId="10" fontId="5" fillId="0" borderId="0" xfId="1" applyNumberFormat="1" applyFont="1" applyFill="1" applyAlignment="1">
      <alignment horizontal="center"/>
    </xf>
    <xf numFmtId="167" fontId="2" fillId="0" borderId="0" xfId="0" applyNumberFormat="1" applyFont="1" applyAlignment="1">
      <alignment horizontal="center"/>
    </xf>
    <xf numFmtId="0" fontId="2" fillId="0" borderId="14" xfId="0" applyFont="1" applyBorder="1" applyAlignment="1">
      <alignment horizontal="center"/>
    </xf>
    <xf numFmtId="167" fontId="2" fillId="0" borderId="14" xfId="0" applyNumberFormat="1" applyFont="1" applyBorder="1" applyAlignment="1">
      <alignment horizontal="center"/>
    </xf>
    <xf numFmtId="10" fontId="2" fillId="0" borderId="0" xfId="1" applyNumberFormat="1" applyFont="1" applyAlignment="1">
      <alignment horizontal="center"/>
    </xf>
    <xf numFmtId="10" fontId="2" fillId="0" borderId="14" xfId="1" applyNumberFormat="1" applyFont="1" applyBorder="1" applyAlignment="1">
      <alignment horizontal="center"/>
    </xf>
    <xf numFmtId="14" fontId="5" fillId="0" borderId="0" xfId="0" applyNumberFormat="1" applyFont="1" applyFill="1" applyAlignment="1">
      <alignment horizontal="center"/>
    </xf>
    <xf numFmtId="14" fontId="5" fillId="0" borderId="0" xfId="0" applyNumberFormat="1" applyFont="1" applyFill="1" applyBorder="1" applyAlignment="1">
      <alignment horizontal="center"/>
    </xf>
    <xf numFmtId="176" fontId="5" fillId="0" borderId="0" xfId="1" applyNumberFormat="1" applyFont="1" applyFill="1" applyAlignment="1">
      <alignment horizontal="center"/>
    </xf>
    <xf numFmtId="176" fontId="5" fillId="0" borderId="14" xfId="1" applyNumberFormat="1" applyFont="1" applyFill="1" applyBorder="1" applyAlignment="1">
      <alignment horizontal="center"/>
    </xf>
    <xf numFmtId="176" fontId="5" fillId="0" borderId="0" xfId="0" applyNumberFormat="1" applyFont="1" applyFill="1" applyAlignment="1">
      <alignment horizontal="center"/>
    </xf>
    <xf numFmtId="3" fontId="5" fillId="0" borderId="0" xfId="2" applyNumberFormat="1" applyFont="1" applyFill="1" applyAlignment="1">
      <alignment horizontal="center"/>
    </xf>
    <xf numFmtId="177" fontId="5" fillId="0" borderId="0" xfId="0" applyNumberFormat="1" applyFont="1" applyFill="1" applyAlignment="1">
      <alignment horizontal="center"/>
    </xf>
    <xf numFmtId="166" fontId="5" fillId="0" borderId="0" xfId="1" applyNumberFormat="1" applyFont="1" applyFill="1" applyBorder="1" applyAlignment="1">
      <alignment horizontal="center"/>
    </xf>
    <xf numFmtId="0" fontId="2" fillId="0" borderId="14" xfId="0" applyFont="1" applyBorder="1" applyAlignment="1">
      <alignment horizontal="center" wrapText="1"/>
    </xf>
    <xf numFmtId="174" fontId="2" fillId="0" borderId="0" xfId="0" applyNumberFormat="1" applyFont="1" applyAlignment="1">
      <alignment horizontal="center"/>
    </xf>
    <xf numFmtId="3" fontId="2" fillId="0" borderId="0" xfId="0" applyNumberFormat="1" applyFont="1" applyAlignment="1">
      <alignment horizontal="center"/>
    </xf>
    <xf numFmtId="168" fontId="2" fillId="0" borderId="0" xfId="0" applyNumberFormat="1" applyFont="1" applyAlignment="1">
      <alignment horizontal="center"/>
    </xf>
    <xf numFmtId="174" fontId="2" fillId="0" borderId="14" xfId="0" applyNumberFormat="1" applyFont="1" applyBorder="1" applyAlignment="1">
      <alignment horizontal="center"/>
    </xf>
    <xf numFmtId="3" fontId="2" fillId="0" borderId="14" xfId="0" applyNumberFormat="1" applyFont="1" applyBorder="1" applyAlignment="1">
      <alignment horizontal="center"/>
    </xf>
    <xf numFmtId="168" fontId="2" fillId="0" borderId="14" xfId="0" applyNumberFormat="1" applyFont="1" applyBorder="1" applyAlignment="1">
      <alignment horizontal="center"/>
    </xf>
    <xf numFmtId="3" fontId="2" fillId="0" borderId="0" xfId="2" applyNumberFormat="1" applyFont="1" applyFill="1" applyAlignment="1">
      <alignment horizontal="center"/>
    </xf>
    <xf numFmtId="0" fontId="16" fillId="0" borderId="0" xfId="0" applyFont="1" applyAlignment="1">
      <alignment horizontal="center"/>
    </xf>
    <xf numFmtId="3" fontId="24" fillId="0" borderId="0" xfId="0" applyNumberFormat="1" applyFont="1" applyAlignment="1">
      <alignment horizontal="right"/>
    </xf>
    <xf numFmtId="3" fontId="24" fillId="0" borderId="0" xfId="0" applyNumberFormat="1" applyFont="1" applyAlignment="1">
      <alignment horizontal="center"/>
    </xf>
    <xf numFmtId="0" fontId="24" fillId="0" borderId="0" xfId="0" applyFont="1" applyAlignment="1">
      <alignment horizontal="center"/>
    </xf>
    <xf numFmtId="166" fontId="2" fillId="0" borderId="0" xfId="1" applyNumberFormat="1" applyFont="1" applyFill="1" applyAlignment="1">
      <alignment horizontal="center"/>
    </xf>
    <xf numFmtId="3" fontId="22" fillId="0" borderId="0" xfId="0" applyNumberFormat="1" applyFont="1" applyAlignment="1">
      <alignment horizontal="center"/>
    </xf>
    <xf numFmtId="166" fontId="2" fillId="0" borderId="14" xfId="1" applyNumberFormat="1" applyFont="1" applyFill="1" applyBorder="1" applyAlignment="1">
      <alignment horizontal="center"/>
    </xf>
    <xf numFmtId="3" fontId="2" fillId="0" borderId="14" xfId="2" applyNumberFormat="1" applyFont="1" applyFill="1" applyBorder="1" applyAlignment="1">
      <alignment horizontal="center"/>
    </xf>
    <xf numFmtId="10" fontId="5" fillId="0" borderId="0" xfId="1" applyNumberFormat="1" applyFont="1" applyFill="1"/>
    <xf numFmtId="178" fontId="5" fillId="0" borderId="0" xfId="0" applyNumberFormat="1" applyFont="1" applyFill="1"/>
    <xf numFmtId="178" fontId="5" fillId="0" borderId="0" xfId="0" applyNumberFormat="1" applyFont="1" applyFill="1" applyAlignment="1">
      <alignment horizontal="center"/>
    </xf>
    <xf numFmtId="9" fontId="5" fillId="0" borderId="0" xfId="0" applyNumberFormat="1" applyFont="1" applyFill="1" applyAlignment="1">
      <alignment horizontal="center"/>
    </xf>
    <xf numFmtId="3" fontId="5" fillId="0" borderId="0" xfId="0" applyNumberFormat="1" applyFont="1" applyFill="1"/>
    <xf numFmtId="1" fontId="5" fillId="0" borderId="0" xfId="0" applyNumberFormat="1" applyFont="1" applyFill="1" applyAlignment="1">
      <alignment horizontal="center"/>
    </xf>
    <xf numFmtId="1" fontId="5" fillId="0" borderId="14" xfId="0" applyNumberFormat="1" applyFont="1" applyFill="1" applyBorder="1" applyAlignment="1">
      <alignment horizontal="center"/>
    </xf>
    <xf numFmtId="3" fontId="5" fillId="0" borderId="0" xfId="0" applyNumberFormat="1" applyFont="1" applyFill="1" applyAlignment="1">
      <alignment horizontal="left"/>
    </xf>
    <xf numFmtId="10" fontId="5" fillId="0" borderId="0" xfId="0" applyNumberFormat="1" applyFont="1" applyFill="1" applyAlignment="1">
      <alignment horizontal="left"/>
    </xf>
    <xf numFmtId="14" fontId="5" fillId="0" borderId="0" xfId="0" applyNumberFormat="1" applyFont="1" applyFill="1" applyAlignment="1">
      <alignment horizontal="left"/>
    </xf>
    <xf numFmtId="9" fontId="5" fillId="0" borderId="0" xfId="0" quotePrefix="1" applyNumberFormat="1" applyFont="1" applyFill="1" applyAlignment="1">
      <alignment horizontal="center"/>
    </xf>
    <xf numFmtId="0" fontId="5" fillId="0" borderId="14" xfId="0" quotePrefix="1" applyFont="1" applyFill="1" applyBorder="1" applyAlignment="1">
      <alignment horizontal="center"/>
    </xf>
    <xf numFmtId="179" fontId="5" fillId="0" borderId="0" xfId="0" applyNumberFormat="1" applyFont="1" applyFill="1" applyAlignment="1">
      <alignment horizontal="center"/>
    </xf>
    <xf numFmtId="168" fontId="5" fillId="0" borderId="14" xfId="0" applyNumberFormat="1" applyFont="1" applyFill="1" applyBorder="1" applyAlignment="1">
      <alignment horizontal="center"/>
    </xf>
    <xf numFmtId="179" fontId="5" fillId="0" borderId="14" xfId="0" applyNumberFormat="1" applyFont="1" applyFill="1" applyBorder="1" applyAlignment="1">
      <alignment horizontal="center"/>
    </xf>
    <xf numFmtId="37" fontId="5" fillId="0" borderId="0" xfId="2" applyNumberFormat="1" applyFont="1" applyFill="1" applyBorder="1" applyAlignment="1">
      <alignment horizontal="center"/>
    </xf>
    <xf numFmtId="4" fontId="5" fillId="0" borderId="0" xfId="0" applyNumberFormat="1" applyFont="1"/>
    <xf numFmtId="4" fontId="1" fillId="2" borderId="0" xfId="0" applyNumberFormat="1" applyFont="1" applyFill="1"/>
    <xf numFmtId="0" fontId="25" fillId="0" borderId="0" xfId="0" applyFont="1" applyFill="1"/>
    <xf numFmtId="0" fontId="19" fillId="0" borderId="0" xfId="0" applyFont="1"/>
    <xf numFmtId="0" fontId="12" fillId="0" borderId="14" xfId="0" applyFont="1" applyFill="1" applyBorder="1" applyAlignment="1">
      <alignment horizontal="center" vertical="center"/>
    </xf>
    <xf numFmtId="4" fontId="5" fillId="0" borderId="0" xfId="2" applyNumberFormat="1" applyFont="1" applyFill="1" applyAlignment="1">
      <alignment horizontal="center"/>
    </xf>
    <xf numFmtId="9" fontId="5" fillId="0" borderId="14" xfId="0" quotePrefix="1" applyNumberFormat="1" applyFont="1" applyFill="1" applyBorder="1" applyAlignment="1">
      <alignment horizontal="center"/>
    </xf>
    <xf numFmtId="4" fontId="5" fillId="0" borderId="14" xfId="2" applyNumberFormat="1" applyFont="1" applyFill="1" applyBorder="1" applyAlignment="1">
      <alignment horizontal="center"/>
    </xf>
    <xf numFmtId="168" fontId="5" fillId="0" borderId="0" xfId="0" applyNumberFormat="1" applyFont="1" applyFill="1"/>
    <xf numFmtId="168" fontId="5" fillId="0" borderId="0" xfId="0" applyNumberFormat="1" applyFont="1" applyFill="1" applyAlignment="1">
      <alignment horizontal="left"/>
    </xf>
    <xf numFmtId="0" fontId="26" fillId="0" borderId="0" xfId="0" applyFont="1"/>
    <xf numFmtId="0" fontId="7" fillId="2" borderId="1" xfId="0" applyFont="1" applyFill="1" applyBorder="1" applyAlignment="1">
      <alignment horizontal="center" vertical="center"/>
    </xf>
    <xf numFmtId="0" fontId="1" fillId="3" borderId="0" xfId="0" applyFont="1" applyFill="1" applyAlignment="1">
      <alignment wrapText="1"/>
    </xf>
    <xf numFmtId="0" fontId="1" fillId="2" borderId="0" xfId="0" applyFont="1" applyFill="1" applyAlignment="1">
      <alignment wrapText="1"/>
    </xf>
    <xf numFmtId="0" fontId="5" fillId="0" borderId="0" xfId="0" applyFont="1" applyFill="1" applyAlignment="1">
      <alignment horizontal="center"/>
    </xf>
    <xf numFmtId="0" fontId="5" fillId="4" borderId="0" xfId="0" applyFont="1" applyFill="1" applyAlignment="1">
      <alignment horizontal="center"/>
    </xf>
    <xf numFmtId="0" fontId="7" fillId="2"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0" xfId="0" applyFont="1" applyFill="1" applyBorder="1" applyAlignment="1">
      <alignment horizontal="center"/>
    </xf>
    <xf numFmtId="166" fontId="1" fillId="2" borderId="1" xfId="0" applyNumberFormat="1" applyFont="1" applyFill="1" applyBorder="1" applyAlignment="1">
      <alignment horizontal="center" vertical="center"/>
    </xf>
    <xf numFmtId="3" fontId="1" fillId="2" borderId="1" xfId="0" applyNumberFormat="1" applyFont="1" applyFill="1" applyBorder="1" applyAlignment="1">
      <alignment horizontal="center" vertical="center"/>
    </xf>
    <xf numFmtId="0" fontId="23" fillId="0" borderId="0" xfId="0" applyFont="1" applyFill="1" applyAlignment="1">
      <alignment horizontal="center"/>
    </xf>
    <xf numFmtId="3" fontId="7" fillId="2"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4" xfId="0" applyFont="1" applyFill="1" applyBorder="1" applyAlignment="1">
      <alignment horizontal="center"/>
    </xf>
    <xf numFmtId="0" fontId="5" fillId="0" borderId="0" xfId="0" applyFont="1" applyFill="1" applyBorder="1" applyAlignment="1">
      <alignment horizont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5" fillId="0" borderId="14" xfId="0" applyFont="1" applyFill="1" applyBorder="1" applyAlignment="1">
      <alignment horizontal="center" wrapText="1"/>
    </xf>
    <xf numFmtId="0" fontId="7" fillId="2" borderId="5" xfId="0" applyFont="1" applyFill="1" applyBorder="1" applyAlignment="1">
      <alignment horizontal="center" vertical="center"/>
    </xf>
    <xf numFmtId="0" fontId="7" fillId="2" borderId="11" xfId="0" applyFont="1" applyFill="1" applyBorder="1" applyAlignment="1">
      <alignment horizontal="center" vertical="center"/>
    </xf>
    <xf numFmtId="0" fontId="5" fillId="0" borderId="0" xfId="0" applyFont="1" applyFill="1" applyBorder="1" applyAlignment="1">
      <alignment horizontal="center" wrapText="1"/>
    </xf>
    <xf numFmtId="0" fontId="5" fillId="0" borderId="14" xfId="0" applyFont="1" applyFill="1" applyBorder="1"/>
    <xf numFmtId="0" fontId="7" fillId="2" borderId="1" xfId="0" applyFont="1" applyFill="1" applyBorder="1" applyAlignment="1">
      <alignment horizontal="left" vertical="center"/>
    </xf>
    <xf numFmtId="0" fontId="1" fillId="2" borderId="1" xfId="0" applyFont="1" applyFill="1" applyBorder="1" applyAlignment="1">
      <alignment horizontal="left" vertical="center"/>
    </xf>
    <xf numFmtId="0" fontId="5" fillId="0" borderId="0" xfId="0" applyFont="1" applyFill="1" applyAlignment="1">
      <alignment horizontal="center" wrapText="1"/>
    </xf>
    <xf numFmtId="169" fontId="1" fillId="2" borderId="1" xfId="0" applyNumberFormat="1" applyFont="1" applyFill="1" applyBorder="1" applyAlignment="1">
      <alignment horizontal="left"/>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0</xdr:colOff>
      <xdr:row>38</xdr:row>
      <xdr:rowOff>15240</xdr:rowOff>
    </xdr:from>
    <xdr:to>
      <xdr:col>17</xdr:col>
      <xdr:colOff>0</xdr:colOff>
      <xdr:row>42</xdr:row>
      <xdr:rowOff>0</xdr:rowOff>
    </xdr:to>
    <xdr:cxnSp macro="">
      <xdr:nvCxnSpPr>
        <xdr:cNvPr id="2" name="Straight Connector 1">
          <a:extLst>
            <a:ext uri="{FF2B5EF4-FFF2-40B4-BE49-F238E27FC236}">
              <a16:creationId xmlns:a16="http://schemas.microsoft.com/office/drawing/2014/main" id="{6E8BF4E3-4CFA-4C92-8BDC-3C9E5104A659}"/>
            </a:ext>
          </a:extLst>
        </xdr:cNvPr>
        <xdr:cNvCxnSpPr/>
      </xdr:nvCxnSpPr>
      <xdr:spPr>
        <a:xfrm flipV="1">
          <a:off x="9267825" y="8263890"/>
          <a:ext cx="1104900" cy="9753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xdr:colOff>
      <xdr:row>38</xdr:row>
      <xdr:rowOff>11430</xdr:rowOff>
    </xdr:from>
    <xdr:to>
      <xdr:col>22</xdr:col>
      <xdr:colOff>0</xdr:colOff>
      <xdr:row>41</xdr:row>
      <xdr:rowOff>240030</xdr:rowOff>
    </xdr:to>
    <xdr:cxnSp macro="">
      <xdr:nvCxnSpPr>
        <xdr:cNvPr id="3" name="Straight Connector 2">
          <a:extLst>
            <a:ext uri="{FF2B5EF4-FFF2-40B4-BE49-F238E27FC236}">
              <a16:creationId xmlns:a16="http://schemas.microsoft.com/office/drawing/2014/main" id="{338095AD-9F6D-4B19-B32C-C04A801A1502}"/>
            </a:ext>
          </a:extLst>
        </xdr:cNvPr>
        <xdr:cNvCxnSpPr/>
      </xdr:nvCxnSpPr>
      <xdr:spPr>
        <a:xfrm flipV="1">
          <a:off x="10660380" y="8260080"/>
          <a:ext cx="1093470" cy="9715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68580</xdr:colOff>
      <xdr:row>37</xdr:row>
      <xdr:rowOff>238125</xdr:rowOff>
    </xdr:from>
    <xdr:to>
      <xdr:col>32</xdr:col>
      <xdr:colOff>47625</xdr:colOff>
      <xdr:row>42</xdr:row>
      <xdr:rowOff>1905</xdr:rowOff>
    </xdr:to>
    <xdr:cxnSp macro="">
      <xdr:nvCxnSpPr>
        <xdr:cNvPr id="4" name="Straight Connector 3">
          <a:extLst>
            <a:ext uri="{FF2B5EF4-FFF2-40B4-BE49-F238E27FC236}">
              <a16:creationId xmlns:a16="http://schemas.microsoft.com/office/drawing/2014/main" id="{22DF8FE1-3315-4D9F-81D5-DB487F24B965}"/>
            </a:ext>
          </a:extLst>
        </xdr:cNvPr>
        <xdr:cNvCxnSpPr/>
      </xdr:nvCxnSpPr>
      <xdr:spPr>
        <a:xfrm flipV="1">
          <a:off x="13479780" y="8239125"/>
          <a:ext cx="1083945" cy="10020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5715</xdr:colOff>
      <xdr:row>37</xdr:row>
      <xdr:rowOff>243840</xdr:rowOff>
    </xdr:from>
    <xdr:to>
      <xdr:col>26</xdr:col>
      <xdr:colOff>264795</xdr:colOff>
      <xdr:row>41</xdr:row>
      <xdr:rowOff>224790</xdr:rowOff>
    </xdr:to>
    <xdr:cxnSp macro="">
      <xdr:nvCxnSpPr>
        <xdr:cNvPr id="6" name="Straight Connector 5">
          <a:extLst>
            <a:ext uri="{FF2B5EF4-FFF2-40B4-BE49-F238E27FC236}">
              <a16:creationId xmlns:a16="http://schemas.microsoft.com/office/drawing/2014/main" id="{83EA6000-BBC2-42F9-8AB8-A1BB6FB0D28A}"/>
            </a:ext>
          </a:extLst>
        </xdr:cNvPr>
        <xdr:cNvCxnSpPr/>
      </xdr:nvCxnSpPr>
      <xdr:spPr>
        <a:xfrm flipV="1">
          <a:off x="12035790" y="8244840"/>
          <a:ext cx="1087755" cy="9715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CE2F-AEC1-4A0A-9F06-F548DA5064BE}">
  <dimension ref="A1:AG96"/>
  <sheetViews>
    <sheetView tabSelected="1" zoomScaleNormal="100" workbookViewId="0"/>
  </sheetViews>
  <sheetFormatPr defaultColWidth="8.88671875" defaultRowHeight="15.6"/>
  <cols>
    <col min="1" max="1" width="8.88671875" style="1" customWidth="1"/>
    <col min="2" max="2" width="15" style="1" customWidth="1"/>
    <col min="3" max="3" width="16.88671875" style="1" customWidth="1"/>
    <col min="4" max="4" width="14.6640625" style="1" customWidth="1"/>
    <col min="5" max="5" width="17.77734375" style="1" customWidth="1"/>
    <col min="6" max="7" width="12.6640625" style="1" customWidth="1"/>
    <col min="8" max="8" width="13.33203125" style="1" customWidth="1"/>
    <col min="9" max="9" width="12.6640625" style="1" customWidth="1"/>
    <col min="10" max="12" width="9.6640625" style="1" customWidth="1"/>
    <col min="13" max="32" width="4" style="1" customWidth="1"/>
    <col min="33" max="16384" width="8.88671875" style="1"/>
  </cols>
  <sheetData>
    <row r="1" spans="1:20" ht="17.399999999999999">
      <c r="A1" s="2" t="s">
        <v>10</v>
      </c>
      <c r="B1" s="4"/>
      <c r="C1" s="9" t="s">
        <v>12</v>
      </c>
      <c r="D1" s="4"/>
      <c r="E1" s="4"/>
      <c r="F1" s="4"/>
      <c r="G1" s="4"/>
      <c r="H1" s="4"/>
      <c r="I1" s="4"/>
      <c r="J1" s="4"/>
      <c r="K1" s="4"/>
      <c r="L1" s="3"/>
    </row>
    <row r="2" spans="1:20">
      <c r="A2" s="4"/>
      <c r="B2" s="4"/>
      <c r="C2" s="4"/>
      <c r="D2" s="4"/>
      <c r="E2" s="4"/>
      <c r="F2" s="4"/>
      <c r="G2" s="4"/>
      <c r="H2" s="4"/>
      <c r="I2" s="4"/>
      <c r="J2" s="4"/>
      <c r="K2" s="4"/>
      <c r="L2" s="3"/>
    </row>
    <row r="3" spans="1:20">
      <c r="A3" s="12" t="s">
        <v>13</v>
      </c>
      <c r="B3" s="12"/>
      <c r="C3" s="12"/>
      <c r="D3" s="12"/>
      <c r="E3" s="12"/>
      <c r="F3" s="12"/>
      <c r="G3" s="12"/>
      <c r="H3" s="12"/>
      <c r="I3" s="12"/>
      <c r="J3" s="12"/>
      <c r="K3" s="4"/>
      <c r="L3" s="3"/>
    </row>
    <row r="4" spans="1:20" s="11" customFormat="1">
      <c r="A4" s="13"/>
      <c r="B4" s="12"/>
      <c r="C4" s="12"/>
      <c r="D4" s="12"/>
      <c r="E4" s="12"/>
      <c r="F4" s="12"/>
      <c r="G4" s="12"/>
      <c r="H4" s="10"/>
      <c r="I4" s="10"/>
      <c r="J4" s="10"/>
      <c r="K4" s="10"/>
      <c r="L4" s="10"/>
    </row>
    <row r="5" spans="1:20" s="11" customFormat="1" ht="46.8">
      <c r="A5" s="13"/>
      <c r="B5" s="18" t="s">
        <v>14</v>
      </c>
      <c r="C5" s="18" t="s">
        <v>15</v>
      </c>
      <c r="D5" s="18" t="s">
        <v>16</v>
      </c>
      <c r="E5" s="12"/>
      <c r="F5" s="12"/>
      <c r="G5" s="12"/>
      <c r="H5" s="10"/>
      <c r="I5" s="10"/>
      <c r="J5" s="10"/>
      <c r="K5" s="10"/>
      <c r="L5" s="10"/>
    </row>
    <row r="6" spans="1:20" s="11" customFormat="1">
      <c r="A6" s="13"/>
      <c r="B6" s="16">
        <v>2017</v>
      </c>
      <c r="C6" s="17">
        <v>785000</v>
      </c>
      <c r="D6" s="17">
        <v>778650</v>
      </c>
      <c r="E6" s="12"/>
      <c r="F6" s="12"/>
      <c r="G6" s="12"/>
      <c r="H6" s="10"/>
      <c r="I6" s="10"/>
      <c r="J6" s="10"/>
      <c r="K6" s="10"/>
      <c r="L6" s="10"/>
    </row>
    <row r="7" spans="1:20" s="11" customFormat="1">
      <c r="A7" s="13"/>
      <c r="B7" s="16">
        <v>2018</v>
      </c>
      <c r="C7" s="17">
        <v>792500</v>
      </c>
      <c r="D7" s="17">
        <v>782020</v>
      </c>
      <c r="E7" s="12"/>
      <c r="F7" s="12"/>
      <c r="G7" s="12"/>
      <c r="H7" s="10"/>
      <c r="I7" s="10"/>
      <c r="J7" s="10"/>
      <c r="K7" s="10"/>
      <c r="L7" s="10"/>
    </row>
    <row r="8" spans="1:20" s="11" customFormat="1">
      <c r="A8" s="13"/>
      <c r="B8" s="16">
        <v>2019</v>
      </c>
      <c r="C8" s="17">
        <v>801240</v>
      </c>
      <c r="D8" s="17">
        <v>789880</v>
      </c>
      <c r="E8" s="12"/>
      <c r="F8" s="12"/>
      <c r="G8" s="12"/>
      <c r="H8" s="10"/>
      <c r="I8" s="10"/>
      <c r="J8" s="10"/>
      <c r="K8" s="10"/>
      <c r="L8" s="10"/>
    </row>
    <row r="9" spans="1:20" s="11" customFormat="1">
      <c r="A9" s="12"/>
      <c r="B9" s="12"/>
      <c r="C9" s="12"/>
      <c r="D9" s="12"/>
      <c r="E9" s="12"/>
      <c r="F9" s="12"/>
      <c r="G9" s="12"/>
      <c r="H9" s="10"/>
      <c r="I9" s="10"/>
      <c r="J9" s="10"/>
      <c r="K9" s="10"/>
      <c r="L9" s="10"/>
    </row>
    <row r="10" spans="1:20">
      <c r="A10" s="7"/>
      <c r="B10" s="7"/>
      <c r="C10" s="7"/>
      <c r="D10" s="7"/>
      <c r="E10" s="7"/>
      <c r="F10" s="7"/>
      <c r="G10" s="7"/>
      <c r="H10" s="7"/>
      <c r="I10" s="7"/>
      <c r="J10" s="7"/>
      <c r="K10" s="7"/>
      <c r="L10" s="7"/>
    </row>
    <row r="11" spans="1:20">
      <c r="A11" s="6" t="s">
        <v>4</v>
      </c>
      <c r="B11" s="9" t="s">
        <v>17</v>
      </c>
      <c r="C11" s="4"/>
      <c r="D11" s="4"/>
      <c r="E11" s="4"/>
      <c r="F11" s="4"/>
      <c r="G11" s="4"/>
      <c r="H11" s="4"/>
      <c r="I11" s="4"/>
      <c r="J11" s="4"/>
      <c r="K11" s="4"/>
      <c r="L11" s="4"/>
      <c r="M11" s="8"/>
      <c r="N11" s="8"/>
      <c r="O11" s="8"/>
      <c r="P11" s="8"/>
      <c r="Q11" s="8"/>
      <c r="R11" s="8"/>
    </row>
    <row r="12" spans="1:20">
      <c r="A12" s="7"/>
      <c r="B12" s="7"/>
      <c r="C12" s="7"/>
      <c r="D12" s="7"/>
      <c r="E12" s="7"/>
      <c r="F12" s="7"/>
      <c r="G12" s="7"/>
      <c r="H12" s="7"/>
      <c r="I12" s="7"/>
      <c r="J12" s="7"/>
      <c r="K12" s="7"/>
      <c r="L12" s="7"/>
      <c r="M12" s="7"/>
    </row>
    <row r="13" spans="1:20">
      <c r="A13" s="7" t="s">
        <v>1</v>
      </c>
      <c r="B13" s="93"/>
      <c r="C13" s="93"/>
      <c r="D13" s="93"/>
      <c r="E13" s="93"/>
      <c r="F13" s="93"/>
      <c r="G13" s="93"/>
      <c r="H13" s="93"/>
      <c r="I13" s="7"/>
      <c r="J13" s="7"/>
      <c r="K13" s="7"/>
      <c r="L13" s="7"/>
      <c r="M13" s="7"/>
      <c r="N13" s="8"/>
    </row>
    <row r="14" spans="1:20">
      <c r="B14" s="95" t="s">
        <v>14</v>
      </c>
      <c r="C14" s="95" t="s">
        <v>304</v>
      </c>
      <c r="D14" s="94"/>
      <c r="E14" s="94"/>
      <c r="F14" s="94"/>
      <c r="G14" s="94"/>
      <c r="H14" s="94"/>
      <c r="M14" s="8"/>
      <c r="N14" s="8"/>
      <c r="O14"/>
      <c r="P14"/>
      <c r="Q14"/>
      <c r="R14"/>
      <c r="S14"/>
      <c r="T14"/>
    </row>
    <row r="15" spans="1:20">
      <c r="B15" s="96">
        <v>2018</v>
      </c>
      <c r="C15" s="97">
        <f>D7-C6+C7</f>
        <v>789520</v>
      </c>
      <c r="D15" s="98"/>
      <c r="E15" s="94"/>
      <c r="F15" s="94"/>
      <c r="G15" s="94"/>
      <c r="H15" s="94"/>
      <c r="M15" s="8"/>
      <c r="N15" s="8"/>
      <c r="O15"/>
      <c r="P15"/>
      <c r="Q15"/>
      <c r="R15"/>
      <c r="S15"/>
      <c r="T15"/>
    </row>
    <row r="16" spans="1:20">
      <c r="M16" s="8"/>
      <c r="N16" s="8"/>
      <c r="O16"/>
      <c r="P16"/>
      <c r="Q16"/>
      <c r="R16"/>
      <c r="S16"/>
      <c r="T16"/>
    </row>
    <row r="17" spans="1:20">
      <c r="A17" s="13"/>
      <c r="B17" s="12"/>
      <c r="C17" s="12"/>
      <c r="D17" s="12"/>
      <c r="E17" s="12"/>
      <c r="F17" s="12"/>
      <c r="G17" s="12"/>
      <c r="H17" s="10"/>
      <c r="I17" s="10"/>
      <c r="J17" s="10"/>
      <c r="K17" s="10"/>
      <c r="L17" s="10"/>
      <c r="M17" s="8"/>
      <c r="N17" s="8"/>
      <c r="O17"/>
      <c r="P17"/>
      <c r="Q17"/>
      <c r="R17"/>
      <c r="S17"/>
      <c r="T17"/>
    </row>
    <row r="18" spans="1:20">
      <c r="A18" s="13" t="s">
        <v>18</v>
      </c>
      <c r="B18" s="12"/>
      <c r="C18" s="12"/>
      <c r="D18" s="12"/>
      <c r="E18" s="12"/>
      <c r="F18" s="12"/>
      <c r="G18" s="12"/>
      <c r="H18" s="10"/>
      <c r="I18" s="10"/>
      <c r="J18" s="10"/>
      <c r="K18" s="10"/>
      <c r="L18" s="10"/>
      <c r="M18" s="8"/>
      <c r="N18" s="8"/>
    </row>
    <row r="19" spans="1:20">
      <c r="A19" s="13"/>
      <c r="B19" s="12"/>
      <c r="C19" s="12"/>
      <c r="D19" s="12"/>
      <c r="E19" s="12"/>
      <c r="F19" s="12"/>
      <c r="G19" s="12"/>
      <c r="H19" s="10"/>
      <c r="I19" s="10"/>
      <c r="J19" s="10"/>
      <c r="K19" s="10"/>
      <c r="L19" s="10"/>
      <c r="M19" s="8"/>
      <c r="N19" s="8"/>
    </row>
    <row r="20" spans="1:20">
      <c r="A20" s="13"/>
      <c r="B20" s="291" t="s">
        <v>19</v>
      </c>
      <c r="C20" s="291"/>
      <c r="D20" s="12"/>
      <c r="E20" s="12"/>
      <c r="F20" s="12"/>
      <c r="G20" s="12"/>
      <c r="H20" s="10"/>
      <c r="I20" s="10"/>
      <c r="J20" s="10"/>
      <c r="K20" s="10"/>
      <c r="L20" s="10"/>
      <c r="M20" s="8"/>
      <c r="N20" s="8"/>
    </row>
    <row r="21" spans="1:20" ht="46.8">
      <c r="A21" s="13"/>
      <c r="B21" s="18" t="s">
        <v>20</v>
      </c>
      <c r="C21" s="18" t="s">
        <v>21</v>
      </c>
      <c r="D21" s="12"/>
      <c r="E21" s="12"/>
      <c r="F21" s="12"/>
      <c r="G21" s="12"/>
      <c r="H21" s="10"/>
      <c r="I21" s="10"/>
      <c r="J21" s="10"/>
      <c r="K21" s="10"/>
      <c r="L21" s="10"/>
      <c r="M21" s="8"/>
      <c r="N21" s="8"/>
    </row>
    <row r="22" spans="1:20">
      <c r="A22" s="13"/>
      <c r="B22" s="80">
        <v>42461</v>
      </c>
      <c r="C22" s="19">
        <v>0.02</v>
      </c>
      <c r="D22" s="12"/>
      <c r="E22" s="12"/>
      <c r="F22" s="12"/>
      <c r="G22" s="12"/>
      <c r="H22" s="10"/>
      <c r="I22" s="10"/>
      <c r="J22" s="10"/>
      <c r="K22" s="10"/>
      <c r="L22" s="10"/>
      <c r="M22" s="8"/>
      <c r="N22" s="8"/>
    </row>
    <row r="23" spans="1:20">
      <c r="A23" s="13"/>
      <c r="B23" s="80">
        <v>42917</v>
      </c>
      <c r="C23" s="19">
        <v>0.04</v>
      </c>
      <c r="D23" s="12"/>
      <c r="E23" s="12"/>
      <c r="F23" s="12"/>
      <c r="G23" s="12"/>
      <c r="H23" s="10"/>
      <c r="I23" s="10"/>
      <c r="J23" s="10"/>
      <c r="K23" s="10"/>
      <c r="L23" s="10"/>
      <c r="M23" s="8"/>
      <c r="N23" s="8"/>
    </row>
    <row r="24" spans="1:20">
      <c r="A24" s="13"/>
      <c r="B24" s="80">
        <v>43374</v>
      </c>
      <c r="C24" s="19">
        <v>7.0000000000000007E-2</v>
      </c>
      <c r="D24" s="12"/>
      <c r="E24" s="12"/>
      <c r="F24" s="12"/>
      <c r="G24" s="12"/>
      <c r="H24" s="10"/>
      <c r="I24" s="10"/>
      <c r="J24" s="10"/>
      <c r="K24" s="10"/>
      <c r="L24" s="10"/>
      <c r="M24" s="8"/>
      <c r="N24" s="8"/>
    </row>
    <row r="25" spans="1:20">
      <c r="A25" s="13"/>
      <c r="B25" s="80">
        <v>43862</v>
      </c>
      <c r="C25" s="19">
        <v>0.03</v>
      </c>
      <c r="D25" s="12"/>
      <c r="E25" s="12"/>
      <c r="F25" s="12"/>
      <c r="G25" s="12"/>
      <c r="H25" s="10"/>
      <c r="I25" s="10"/>
      <c r="J25" s="10"/>
      <c r="K25" s="10"/>
      <c r="L25" s="10"/>
      <c r="M25" s="8"/>
      <c r="N25" s="8"/>
    </row>
    <row r="26" spans="1:20">
      <c r="A26" s="13"/>
      <c r="B26" s="12"/>
      <c r="C26" s="12"/>
      <c r="D26" s="12"/>
      <c r="E26" s="12"/>
      <c r="F26" s="12"/>
      <c r="G26" s="12"/>
      <c r="H26" s="10"/>
      <c r="I26" s="10"/>
      <c r="J26" s="10"/>
      <c r="K26" s="10"/>
      <c r="L26" s="10"/>
      <c r="M26" s="8"/>
      <c r="N26" s="8"/>
    </row>
    <row r="27" spans="1:20">
      <c r="A27" s="13"/>
      <c r="B27" s="12" t="s">
        <v>244</v>
      </c>
      <c r="C27" s="12"/>
      <c r="D27" s="12"/>
      <c r="E27" s="12"/>
      <c r="F27" s="12"/>
      <c r="G27" s="12"/>
      <c r="H27" s="10"/>
      <c r="I27" s="10"/>
      <c r="J27" s="10"/>
      <c r="K27" s="10"/>
      <c r="L27" s="10"/>
      <c r="M27" s="8"/>
      <c r="N27" s="8"/>
    </row>
    <row r="28" spans="1:20">
      <c r="A28" s="13"/>
      <c r="B28" s="12" t="s">
        <v>241</v>
      </c>
      <c r="C28" s="12"/>
      <c r="D28" s="12"/>
      <c r="E28" s="12"/>
      <c r="F28" s="12"/>
      <c r="G28" s="12"/>
      <c r="H28" s="10"/>
      <c r="I28" s="10"/>
      <c r="J28" s="10"/>
      <c r="K28" s="10"/>
      <c r="L28" s="10"/>
      <c r="M28" s="8"/>
      <c r="N28" s="8"/>
    </row>
    <row r="29" spans="1:20">
      <c r="A29" s="13"/>
      <c r="B29" s="12" t="s">
        <v>242</v>
      </c>
      <c r="C29" s="12"/>
      <c r="D29" s="12"/>
      <c r="E29" s="12"/>
      <c r="F29" s="12"/>
      <c r="G29" s="12"/>
      <c r="H29" s="10"/>
      <c r="I29" s="10"/>
      <c r="J29" s="10"/>
      <c r="K29" s="10"/>
      <c r="L29" s="10"/>
      <c r="M29" s="8"/>
      <c r="N29" s="8"/>
    </row>
    <row r="30" spans="1:20">
      <c r="A30" s="13"/>
      <c r="B30" s="12" t="s">
        <v>243</v>
      </c>
      <c r="C30" s="12"/>
      <c r="D30" s="12"/>
      <c r="E30" s="12"/>
      <c r="F30" s="12"/>
      <c r="G30" s="12"/>
      <c r="H30" s="10"/>
      <c r="I30" s="10"/>
      <c r="J30" s="10"/>
      <c r="K30" s="10"/>
      <c r="L30" s="10"/>
      <c r="M30" s="8"/>
      <c r="N30" s="8"/>
    </row>
    <row r="31" spans="1:20">
      <c r="A31" s="12"/>
      <c r="B31" s="12"/>
      <c r="C31" s="12"/>
      <c r="D31" s="12"/>
      <c r="E31" s="12"/>
      <c r="F31" s="12"/>
      <c r="G31" s="12"/>
      <c r="H31" s="10"/>
      <c r="I31" s="10"/>
      <c r="J31" s="10"/>
      <c r="K31" s="10"/>
      <c r="L31" s="10"/>
      <c r="M31" s="8"/>
      <c r="N31" s="8"/>
    </row>
    <row r="33" spans="1:33">
      <c r="A33" s="6" t="s">
        <v>5</v>
      </c>
      <c r="B33" s="9" t="s">
        <v>22</v>
      </c>
      <c r="C33" s="4"/>
      <c r="D33" s="4"/>
      <c r="E33" s="4"/>
      <c r="F33" s="4"/>
      <c r="G33" s="4"/>
      <c r="H33" s="4"/>
      <c r="I33" s="4"/>
      <c r="J33" s="4"/>
      <c r="K33" s="4"/>
      <c r="L33" s="4"/>
    </row>
    <row r="34" spans="1:33">
      <c r="A34" s="7"/>
      <c r="B34" s="7"/>
      <c r="C34" s="7"/>
      <c r="D34" s="7"/>
      <c r="E34" s="7"/>
      <c r="F34" s="7"/>
      <c r="G34" s="7"/>
      <c r="H34" s="7"/>
      <c r="I34" s="7"/>
      <c r="J34" s="7"/>
      <c r="K34" s="7"/>
      <c r="L34" s="7"/>
    </row>
    <row r="35" spans="1:33">
      <c r="A35" s="7" t="s">
        <v>1</v>
      </c>
      <c r="B35" s="7"/>
      <c r="C35" s="7"/>
      <c r="D35" s="7"/>
      <c r="E35" s="7"/>
      <c r="F35" s="7"/>
      <c r="G35" s="7"/>
      <c r="H35" s="7"/>
      <c r="I35" s="7"/>
      <c r="J35" s="7"/>
      <c r="K35" s="7"/>
      <c r="L35" s="7"/>
    </row>
    <row r="36" spans="1:33">
      <c r="A36" s="7"/>
      <c r="B36"/>
      <c r="C36"/>
      <c r="D36" s="94"/>
      <c r="E36" s="94"/>
      <c r="F36" s="94"/>
      <c r="G36" s="94"/>
      <c r="H36" s="94"/>
      <c r="I36" s="94"/>
      <c r="J36" s="7"/>
      <c r="K36" s="7"/>
      <c r="L36" s="7"/>
      <c r="AG36" s="108"/>
    </row>
    <row r="37" spans="1:33">
      <c r="A37" s="7"/>
      <c r="B37" s="109" t="s">
        <v>19</v>
      </c>
      <c r="C37" s="109"/>
      <c r="D37" s="94"/>
      <c r="E37" s="94"/>
      <c r="F37" s="94"/>
      <c r="G37" s="94"/>
      <c r="H37" s="94"/>
      <c r="I37" s="94"/>
      <c r="J37" s="7"/>
      <c r="K37" s="7"/>
      <c r="L37" s="7"/>
      <c r="AG37" s="108"/>
    </row>
    <row r="38" spans="1:33" ht="19.95" customHeight="1">
      <c r="B38" s="96" t="s">
        <v>307</v>
      </c>
      <c r="C38" s="96" t="s">
        <v>308</v>
      </c>
      <c r="D38" s="96" t="s">
        <v>309</v>
      </c>
      <c r="E38" s="109" t="s">
        <v>310</v>
      </c>
      <c r="F38" s="109"/>
      <c r="G38" s="109"/>
      <c r="H38" s="109"/>
      <c r="I38" s="109"/>
      <c r="M38" s="295">
        <v>2016</v>
      </c>
      <c r="N38" s="295"/>
      <c r="O38" s="295"/>
      <c r="P38" s="295"/>
      <c r="Q38" s="295">
        <f>M38+1</f>
        <v>2017</v>
      </c>
      <c r="R38" s="295"/>
      <c r="S38" s="295"/>
      <c r="T38" s="295"/>
      <c r="U38" s="295">
        <f>Q38+1</f>
        <v>2018</v>
      </c>
      <c r="V38" s="295"/>
      <c r="W38" s="295"/>
      <c r="X38" s="295"/>
      <c r="Y38" s="295">
        <f>U38+1</f>
        <v>2019</v>
      </c>
      <c r="Z38" s="295"/>
      <c r="AA38" s="295"/>
      <c r="AB38" s="295"/>
      <c r="AC38" s="295">
        <f>Y38+1</f>
        <v>2020</v>
      </c>
      <c r="AD38" s="295"/>
      <c r="AE38" s="295"/>
      <c r="AF38" s="295"/>
      <c r="AG38" s="108"/>
    </row>
    <row r="39" spans="1:33" ht="19.95" customHeight="1">
      <c r="B39" s="110" t="s">
        <v>311</v>
      </c>
      <c r="C39" s="110" t="s">
        <v>312</v>
      </c>
      <c r="D39" s="110" t="s">
        <v>313</v>
      </c>
      <c r="E39" s="110">
        <f t="shared" ref="E39:G39" si="0">F39-1</f>
        <v>2017</v>
      </c>
      <c r="F39" s="110">
        <f t="shared" si="0"/>
        <v>2018</v>
      </c>
      <c r="G39" s="110">
        <f t="shared" si="0"/>
        <v>2019</v>
      </c>
      <c r="H39" s="110">
        <f>I39-1</f>
        <v>2020</v>
      </c>
      <c r="I39" s="110">
        <v>2021</v>
      </c>
      <c r="M39" s="99"/>
      <c r="N39" s="100"/>
      <c r="O39" s="100"/>
      <c r="P39" s="101"/>
      <c r="Q39" s="99"/>
      <c r="R39" s="100"/>
      <c r="S39" s="100"/>
      <c r="T39" s="101"/>
      <c r="U39" s="99"/>
      <c r="V39" s="100"/>
      <c r="W39" s="100"/>
      <c r="X39" s="101"/>
      <c r="Y39" s="99"/>
      <c r="Z39" s="100"/>
      <c r="AA39" s="100"/>
      <c r="AB39" s="101"/>
      <c r="AC39" s="99"/>
      <c r="AD39" s="100"/>
      <c r="AE39" s="100"/>
      <c r="AF39" s="101"/>
      <c r="AG39" s="108"/>
    </row>
    <row r="40" spans="1:33" ht="19.95" customHeight="1">
      <c r="B40" s="111"/>
      <c r="C40" s="112">
        <v>0</v>
      </c>
      <c r="D40" s="113">
        <v>1</v>
      </c>
      <c r="E40" s="114">
        <f>0.5*0.25*0.25</f>
        <v>3.125E-2</v>
      </c>
      <c r="F40" s="114">
        <v>0</v>
      </c>
      <c r="G40" s="114">
        <v>0</v>
      </c>
      <c r="H40" s="114">
        <v>0</v>
      </c>
      <c r="I40" s="114">
        <v>0</v>
      </c>
      <c r="M40" s="102"/>
      <c r="N40" s="103" t="s">
        <v>111</v>
      </c>
      <c r="O40" s="103"/>
      <c r="P40" s="104"/>
      <c r="Q40" s="102"/>
      <c r="R40" s="103"/>
      <c r="S40" s="103" t="s">
        <v>112</v>
      </c>
      <c r="T40" s="104"/>
      <c r="U40" s="102"/>
      <c r="V40" s="103"/>
      <c r="W40" s="103" t="s">
        <v>113</v>
      </c>
      <c r="X40" s="104"/>
      <c r="Y40" s="102"/>
      <c r="Z40" s="103"/>
      <c r="AA40" s="103"/>
      <c r="AB40" s="104" t="s">
        <v>305</v>
      </c>
      <c r="AC40" s="102"/>
      <c r="AD40" s="103"/>
      <c r="AE40" s="103"/>
      <c r="AF40" s="104"/>
      <c r="AG40" s="108"/>
    </row>
    <row r="41" spans="1:33" ht="19.95" customHeight="1">
      <c r="B41" s="111">
        <f t="shared" ref="B41:C44" si="1">B22</f>
        <v>42461</v>
      </c>
      <c r="C41" s="112">
        <f t="shared" si="1"/>
        <v>0.02</v>
      </c>
      <c r="D41" s="113">
        <f>D40*(1+C41)</f>
        <v>1.02</v>
      </c>
      <c r="E41" s="114">
        <f>1-E40-E42</f>
        <v>0.84375</v>
      </c>
      <c r="F41" s="114">
        <f>1/8</f>
        <v>0.125</v>
      </c>
      <c r="G41" s="114">
        <v>0</v>
      </c>
      <c r="H41" s="114">
        <v>0</v>
      </c>
      <c r="I41" s="114">
        <v>0</v>
      </c>
      <c r="M41" s="102"/>
      <c r="N41" s="103"/>
      <c r="O41" s="103"/>
      <c r="P41" s="104"/>
      <c r="Q41" s="102"/>
      <c r="R41" s="103"/>
      <c r="S41" s="103"/>
      <c r="T41" s="104"/>
      <c r="U41" s="102"/>
      <c r="V41" s="103"/>
      <c r="W41" s="103"/>
      <c r="X41" s="104"/>
      <c r="Y41" s="102"/>
      <c r="Z41" s="103"/>
      <c r="AA41" s="103"/>
      <c r="AB41" s="104"/>
      <c r="AC41" s="102"/>
      <c r="AD41" s="103"/>
      <c r="AE41" s="103" t="s">
        <v>306</v>
      </c>
      <c r="AF41" s="104"/>
    </row>
    <row r="42" spans="1:33" ht="19.95" customHeight="1">
      <c r="B42" s="111">
        <f t="shared" si="1"/>
        <v>42917</v>
      </c>
      <c r="C42" s="112">
        <f t="shared" si="1"/>
        <v>0.04</v>
      </c>
      <c r="D42" s="113">
        <f t="shared" ref="D42:D44" si="2">D41*(1+C42)</f>
        <v>1.0608</v>
      </c>
      <c r="E42" s="114">
        <f>1/8</f>
        <v>0.125</v>
      </c>
      <c r="F42" s="114">
        <f>1-F41-F43</f>
        <v>0.84375</v>
      </c>
      <c r="G42" s="114">
        <f>9/32</f>
        <v>0.28125</v>
      </c>
      <c r="H42" s="114">
        <v>0</v>
      </c>
      <c r="I42" s="114">
        <v>0</v>
      </c>
      <c r="M42" s="105"/>
      <c r="N42" s="106"/>
      <c r="O42" s="106"/>
      <c r="P42" s="107"/>
      <c r="Q42" s="105"/>
      <c r="R42" s="106"/>
      <c r="S42" s="106"/>
      <c r="T42" s="107"/>
      <c r="U42" s="105"/>
      <c r="V42" s="106"/>
      <c r="W42" s="106"/>
      <c r="X42" s="107"/>
      <c r="Y42" s="105"/>
      <c r="Z42" s="106"/>
      <c r="AA42" s="106"/>
      <c r="AB42" s="107"/>
      <c r="AC42" s="105"/>
      <c r="AD42" s="106"/>
      <c r="AE42" s="106"/>
      <c r="AF42" s="107"/>
    </row>
    <row r="43" spans="1:33">
      <c r="B43" s="111">
        <f t="shared" si="1"/>
        <v>43374</v>
      </c>
      <c r="C43" s="112">
        <f t="shared" si="1"/>
        <v>7.0000000000000007E-2</v>
      </c>
      <c r="D43" s="113">
        <f t="shared" si="2"/>
        <v>1.1350560000000001</v>
      </c>
      <c r="E43" s="114">
        <v>0</v>
      </c>
      <c r="F43" s="114">
        <f>0.5*0.25*0.25</f>
        <v>3.125E-2</v>
      </c>
      <c r="G43" s="114">
        <f>1-G42</f>
        <v>0.71875</v>
      </c>
      <c r="H43" s="114">
        <f>1-H44</f>
        <v>0.57986111111111116</v>
      </c>
      <c r="I43" s="114">
        <f>0.5*(1/12)^2</f>
        <v>3.472222222222222E-3</v>
      </c>
      <c r="M43" s="7"/>
    </row>
    <row r="44" spans="1:33">
      <c r="B44" s="122">
        <f t="shared" si="1"/>
        <v>43862</v>
      </c>
      <c r="C44" s="123">
        <f t="shared" si="1"/>
        <v>0.03</v>
      </c>
      <c r="D44" s="117">
        <f t="shared" si="2"/>
        <v>1.1691076800000002</v>
      </c>
      <c r="E44" s="118">
        <v>0</v>
      </c>
      <c r="F44" s="118">
        <v>0</v>
      </c>
      <c r="G44" s="118">
        <v>0</v>
      </c>
      <c r="H44" s="118">
        <f>0.5*(11/12)^2</f>
        <v>0.42013888888888884</v>
      </c>
      <c r="I44" s="118">
        <f>1-I43</f>
        <v>0.99652777777777779</v>
      </c>
      <c r="M44" s="7"/>
    </row>
    <row r="45" spans="1:33">
      <c r="B45" s="115"/>
      <c r="C45" s="116"/>
      <c r="D45" s="94"/>
      <c r="E45" s="114">
        <f>SUM(E40:E44)</f>
        <v>1</v>
      </c>
      <c r="F45" s="114">
        <f>SUM(F40:F44)</f>
        <v>1</v>
      </c>
      <c r="G45" s="114">
        <f>SUM(G40:G44)</f>
        <v>1</v>
      </c>
      <c r="H45" s="114">
        <f>SUM(H40:H44)</f>
        <v>1</v>
      </c>
      <c r="I45" s="114">
        <f>SUM(I40:I44)</f>
        <v>1</v>
      </c>
      <c r="M45" s="7"/>
    </row>
    <row r="46" spans="1:33">
      <c r="B46" s="115"/>
      <c r="C46" s="119"/>
      <c r="D46" s="94"/>
      <c r="E46" s="94"/>
      <c r="F46" s="94"/>
      <c r="G46" s="94"/>
      <c r="H46" s="94"/>
      <c r="I46" s="94"/>
      <c r="M46" s="7"/>
    </row>
    <row r="47" spans="1:33">
      <c r="B47" s="120" t="s">
        <v>314</v>
      </c>
      <c r="C47" s="94"/>
      <c r="D47" s="94"/>
      <c r="E47" s="113">
        <f>SUMPRODUCT($D$40:$D$44,E40:E44)</f>
        <v>1.024475</v>
      </c>
      <c r="F47" s="113">
        <f>SUMPRODUCT($D$40:$D$44,F40:F44)</f>
        <v>1.0580205</v>
      </c>
      <c r="G47" s="113">
        <f>SUMPRODUCT($D$40:$D$44,G40:G44)</f>
        <v>1.1141715000000001</v>
      </c>
      <c r="H47" s="113">
        <f>SUMPRODUCT($D$40:$D$44,H40:H44)</f>
        <v>1.149362435</v>
      </c>
      <c r="I47" s="113">
        <f>SUMPRODUCT($D$40:$D$44,I40:I44)</f>
        <v>1.1689894450000002</v>
      </c>
      <c r="M47" s="7"/>
    </row>
    <row r="48" spans="1:33">
      <c r="B48" s="119"/>
      <c r="C48" s="94"/>
      <c r="D48" s="94"/>
      <c r="E48" s="94"/>
      <c r="F48" s="94"/>
      <c r="G48" s="94"/>
      <c r="H48" s="94"/>
      <c r="I48" s="94"/>
      <c r="M48" s="7"/>
    </row>
    <row r="49" spans="1:13">
      <c r="B49" s="120" t="s">
        <v>315</v>
      </c>
      <c r="C49" s="94"/>
      <c r="D49" s="94"/>
      <c r="E49" s="121">
        <f>$D$44/E47</f>
        <v>1.1411773640157155</v>
      </c>
      <c r="F49" s="121">
        <f>$D$44/F47</f>
        <v>1.1049953001855826</v>
      </c>
      <c r="G49" s="121">
        <f>$D$44/G47</f>
        <v>1.0493067539422791</v>
      </c>
      <c r="H49" s="121">
        <f>$D$44/H47</f>
        <v>1.0171793025408911</v>
      </c>
      <c r="I49" s="121">
        <f>$D$44/I47</f>
        <v>1.0001011429149387</v>
      </c>
      <c r="M49" s="7"/>
    </row>
    <row r="50" spans="1:13">
      <c r="B50" s="120"/>
      <c r="C50" s="94"/>
      <c r="D50" s="94"/>
      <c r="E50" s="121"/>
      <c r="F50" s="121"/>
      <c r="G50" s="121"/>
      <c r="H50" s="121"/>
      <c r="I50" s="121"/>
    </row>
    <row r="51" spans="1:13" ht="31.2">
      <c r="B51" s="127" t="s">
        <v>14</v>
      </c>
      <c r="C51" s="127" t="s">
        <v>316</v>
      </c>
      <c r="D51" s="127" t="s">
        <v>16</v>
      </c>
      <c r="E51" s="127" t="s">
        <v>317</v>
      </c>
      <c r="F51" s="121"/>
      <c r="G51" s="121"/>
      <c r="H51" s="121"/>
      <c r="I51" s="121"/>
    </row>
    <row r="52" spans="1:13">
      <c r="B52" s="124">
        <v>2017</v>
      </c>
      <c r="C52" s="125">
        <f>E49</f>
        <v>1.1411773640157155</v>
      </c>
      <c r="D52" s="126">
        <f>D6</f>
        <v>778650</v>
      </c>
      <c r="E52" s="126">
        <f>C52*D52</f>
        <v>888577.75449083687</v>
      </c>
      <c r="F52" s="121"/>
      <c r="G52" s="121"/>
      <c r="H52" s="121"/>
      <c r="I52" s="121"/>
    </row>
    <row r="53" spans="1:13">
      <c r="B53" s="124">
        <v>2018</v>
      </c>
      <c r="C53" s="125">
        <f>F49</f>
        <v>1.1049953001855826</v>
      </c>
      <c r="D53" s="126">
        <f>D7</f>
        <v>782020</v>
      </c>
      <c r="E53" s="126">
        <f t="shared" ref="E53:E54" si="3">C53*D53</f>
        <v>864128.42465112929</v>
      </c>
      <c r="F53" s="121"/>
      <c r="G53" s="121"/>
      <c r="H53" s="121"/>
      <c r="I53" s="121"/>
    </row>
    <row r="54" spans="1:13">
      <c r="B54" s="124">
        <v>2019</v>
      </c>
      <c r="C54" s="125">
        <f>G49</f>
        <v>1.0493067539422791</v>
      </c>
      <c r="D54" s="126">
        <f>D8</f>
        <v>789880</v>
      </c>
      <c r="E54" s="126">
        <f t="shared" si="3"/>
        <v>828826.41880392749</v>
      </c>
      <c r="F54" s="121"/>
      <c r="G54" s="121"/>
      <c r="H54" s="121"/>
      <c r="I54" s="121"/>
    </row>
    <row r="56" spans="1:13">
      <c r="A56" s="12"/>
      <c r="B56" s="12"/>
      <c r="C56" s="12"/>
      <c r="D56" s="12"/>
      <c r="E56" s="12"/>
      <c r="F56" s="12"/>
      <c r="G56" s="12"/>
      <c r="H56" s="10"/>
      <c r="I56" s="10"/>
      <c r="J56" s="10"/>
      <c r="K56" s="10"/>
      <c r="L56" s="10"/>
    </row>
    <row r="57" spans="1:13">
      <c r="A57" s="292" t="s">
        <v>23</v>
      </c>
      <c r="B57" s="292"/>
      <c r="C57" s="292"/>
      <c r="D57" s="292"/>
      <c r="E57" s="292"/>
      <c r="F57" s="292"/>
      <c r="G57" s="292"/>
      <c r="H57" s="292"/>
      <c r="I57" s="292"/>
      <c r="J57" s="292"/>
      <c r="K57" s="292"/>
      <c r="L57" s="10"/>
    </row>
    <row r="58" spans="1:13">
      <c r="A58" s="292"/>
      <c r="B58" s="292"/>
      <c r="C58" s="292"/>
      <c r="D58" s="292"/>
      <c r="E58" s="292"/>
      <c r="F58" s="292"/>
      <c r="G58" s="292"/>
      <c r="H58" s="292"/>
      <c r="I58" s="292"/>
      <c r="J58" s="292"/>
      <c r="K58" s="292"/>
      <c r="L58" s="10"/>
    </row>
    <row r="59" spans="1:13">
      <c r="A59" s="12"/>
      <c r="B59" s="12"/>
      <c r="C59" s="12"/>
      <c r="D59" s="12"/>
      <c r="E59" s="12"/>
      <c r="F59" s="12"/>
      <c r="G59" s="12"/>
      <c r="H59" s="10"/>
      <c r="I59" s="10"/>
      <c r="J59" s="10"/>
      <c r="K59" s="10"/>
      <c r="L59" s="10"/>
    </row>
    <row r="60" spans="1:13" ht="18.600000000000001">
      <c r="A60" s="12"/>
      <c r="B60" s="10" t="s">
        <v>247</v>
      </c>
      <c r="C60" s="10"/>
      <c r="D60" s="50">
        <v>43221</v>
      </c>
      <c r="E60" s="10" t="s">
        <v>62</v>
      </c>
      <c r="F60" s="10"/>
      <c r="G60" s="9"/>
      <c r="H60" s="51">
        <v>5000</v>
      </c>
      <c r="I60" s="10"/>
      <c r="J60" s="10"/>
      <c r="K60" s="10"/>
      <c r="L60" s="10"/>
    </row>
    <row r="61" spans="1:13">
      <c r="A61" s="12"/>
      <c r="B61" s="10" t="s">
        <v>245</v>
      </c>
      <c r="C61" s="10"/>
      <c r="D61" s="49">
        <v>43405</v>
      </c>
      <c r="E61" s="10" t="s">
        <v>62</v>
      </c>
      <c r="F61" s="10"/>
      <c r="G61" s="9"/>
      <c r="H61" s="51">
        <v>7000</v>
      </c>
      <c r="I61" s="10"/>
      <c r="J61" s="10"/>
      <c r="K61" s="10"/>
      <c r="L61" s="10"/>
    </row>
    <row r="62" spans="1:13">
      <c r="A62" s="12"/>
      <c r="B62" s="10" t="s">
        <v>246</v>
      </c>
      <c r="C62" s="10"/>
      <c r="D62" s="10"/>
      <c r="E62" s="10"/>
      <c r="F62" s="10"/>
      <c r="G62" s="10"/>
      <c r="H62" s="10"/>
      <c r="I62" s="10"/>
      <c r="J62" s="10"/>
      <c r="K62" s="10"/>
      <c r="L62" s="10"/>
    </row>
    <row r="63" spans="1:13">
      <c r="A63" s="12"/>
      <c r="B63" s="10"/>
      <c r="C63" s="10"/>
      <c r="D63" s="10"/>
      <c r="E63" s="10"/>
      <c r="F63" s="10"/>
      <c r="G63" s="10"/>
      <c r="H63" s="10"/>
      <c r="I63" s="10"/>
      <c r="J63" s="10"/>
      <c r="K63" s="10"/>
      <c r="L63" s="10"/>
    </row>
    <row r="65" spans="1:14">
      <c r="A65" s="6" t="s">
        <v>0</v>
      </c>
      <c r="B65" s="293" t="s">
        <v>24</v>
      </c>
      <c r="C65" s="293"/>
      <c r="D65" s="293"/>
      <c r="E65" s="293"/>
      <c r="F65" s="293"/>
      <c r="G65" s="293"/>
      <c r="H65" s="293"/>
      <c r="I65" s="293"/>
      <c r="J65" s="293"/>
      <c r="K65" s="293"/>
      <c r="L65" s="293"/>
    </row>
    <row r="66" spans="1:14">
      <c r="A66" s="6"/>
      <c r="B66" s="293"/>
      <c r="C66" s="293"/>
      <c r="D66" s="293"/>
      <c r="E66" s="293"/>
      <c r="F66" s="293"/>
      <c r="G66" s="293"/>
      <c r="H66" s="293"/>
      <c r="I66" s="293"/>
      <c r="J66" s="293"/>
      <c r="K66" s="293"/>
      <c r="L66" s="293"/>
    </row>
    <row r="67" spans="1:14">
      <c r="A67" s="3"/>
      <c r="B67" s="3"/>
      <c r="C67" s="3"/>
      <c r="D67" s="3"/>
      <c r="E67" s="3"/>
      <c r="F67" s="3"/>
      <c r="G67" s="4"/>
      <c r="H67" s="4"/>
      <c r="I67" s="4"/>
      <c r="J67" s="4"/>
      <c r="K67" s="4"/>
      <c r="L67" s="4"/>
    </row>
    <row r="68" spans="1:14">
      <c r="A68" s="7"/>
      <c r="B68" s="7"/>
      <c r="C68" s="7"/>
      <c r="D68" s="7"/>
      <c r="E68" s="7"/>
      <c r="F68" s="7"/>
      <c r="G68" s="7"/>
      <c r="H68" s="7"/>
      <c r="I68" s="7"/>
      <c r="J68" s="7"/>
      <c r="K68" s="7"/>
      <c r="L68" s="7"/>
    </row>
    <row r="69" spans="1:14">
      <c r="A69" s="7" t="s">
        <v>1</v>
      </c>
      <c r="B69" s="7"/>
      <c r="C69" s="7"/>
      <c r="D69" s="7"/>
      <c r="E69" s="7"/>
      <c r="F69" s="7"/>
      <c r="G69" s="7"/>
      <c r="H69" s="7"/>
      <c r="I69" s="7"/>
      <c r="J69" s="7"/>
      <c r="K69" s="7"/>
      <c r="L69" s="7"/>
    </row>
    <row r="70" spans="1:14">
      <c r="B70" s="93"/>
      <c r="C70" s="93"/>
      <c r="D70" s="93"/>
      <c r="E70" s="93"/>
      <c r="F70" s="294" t="s">
        <v>319</v>
      </c>
      <c r="G70" s="294"/>
      <c r="H70" s="93"/>
      <c r="M70" s="7"/>
      <c r="N70" s="7"/>
    </row>
    <row r="71" spans="1:14" ht="46.8">
      <c r="B71" s="128" t="s">
        <v>318</v>
      </c>
      <c r="C71" s="127" t="s">
        <v>320</v>
      </c>
      <c r="D71" s="127" t="s">
        <v>321</v>
      </c>
      <c r="E71" s="127" t="s">
        <v>322</v>
      </c>
      <c r="F71" s="122">
        <f>B43</f>
        <v>43374</v>
      </c>
      <c r="G71" s="122">
        <f>B44</f>
        <v>43862</v>
      </c>
      <c r="H71" s="127" t="s">
        <v>552</v>
      </c>
      <c r="M71" s="7"/>
      <c r="N71" s="7"/>
    </row>
    <row r="72" spans="1:14">
      <c r="B72" s="130">
        <v>1</v>
      </c>
      <c r="C72" s="130">
        <v>8</v>
      </c>
      <c r="D72" s="133">
        <f>C72/12</f>
        <v>0.66666666666666663</v>
      </c>
      <c r="E72" s="134">
        <f>D72*H60</f>
        <v>3333.333333333333</v>
      </c>
      <c r="F72" s="112">
        <f>C43</f>
        <v>7.0000000000000007E-2</v>
      </c>
      <c r="G72" s="112">
        <f>C44</f>
        <v>0.03</v>
      </c>
      <c r="H72" s="134">
        <f>E72*(1+F72)*(1+G72)</f>
        <v>3673.6666666666665</v>
      </c>
      <c r="M72" s="7"/>
      <c r="N72" s="7"/>
    </row>
    <row r="73" spans="1:14">
      <c r="B73" s="128">
        <v>2</v>
      </c>
      <c r="C73" s="128">
        <v>2</v>
      </c>
      <c r="D73" s="135">
        <f>C73/12</f>
        <v>0.16666666666666666</v>
      </c>
      <c r="E73" s="136">
        <f>D73*H61</f>
        <v>1166.6666666666665</v>
      </c>
      <c r="F73" s="128" t="s">
        <v>323</v>
      </c>
      <c r="G73" s="123">
        <f>G72</f>
        <v>0.03</v>
      </c>
      <c r="H73" s="136">
        <f>E73*(1+G73)</f>
        <v>1201.6666666666665</v>
      </c>
    </row>
    <row r="74" spans="1:14">
      <c r="B74" s="129"/>
      <c r="C74" s="129"/>
      <c r="D74" s="129"/>
      <c r="E74" s="134">
        <f>SUM(E72:E73)</f>
        <v>4500</v>
      </c>
      <c r="F74" s="131"/>
      <c r="G74" s="131"/>
      <c r="H74" s="134">
        <f>SUM(H72:H73)</f>
        <v>4875.333333333333</v>
      </c>
    </row>
    <row r="76" spans="1:14">
      <c r="A76" s="6" t="s">
        <v>2</v>
      </c>
      <c r="B76" s="293" t="s">
        <v>25</v>
      </c>
      <c r="C76" s="293"/>
      <c r="D76" s="293"/>
      <c r="E76" s="293"/>
      <c r="F76" s="293"/>
      <c r="G76" s="293"/>
      <c r="H76" s="293"/>
      <c r="I76" s="293"/>
      <c r="J76" s="293"/>
      <c r="K76" s="293"/>
      <c r="L76" s="293"/>
    </row>
    <row r="77" spans="1:14">
      <c r="A77" s="6"/>
      <c r="B77" s="293"/>
      <c r="C77" s="293"/>
      <c r="D77" s="293"/>
      <c r="E77" s="293"/>
      <c r="F77" s="293"/>
      <c r="G77" s="293"/>
      <c r="H77" s="293"/>
      <c r="I77" s="293"/>
      <c r="J77" s="293"/>
      <c r="K77" s="293"/>
      <c r="L77" s="293"/>
    </row>
    <row r="78" spans="1:14">
      <c r="A78" s="3"/>
      <c r="B78" s="3"/>
      <c r="C78" s="3"/>
      <c r="D78" s="3"/>
      <c r="E78" s="3"/>
      <c r="F78" s="3"/>
      <c r="G78" s="4"/>
      <c r="H78" s="4"/>
      <c r="I78" s="4"/>
      <c r="J78" s="4"/>
      <c r="K78" s="4"/>
      <c r="L78" s="4"/>
    </row>
    <row r="79" spans="1:14">
      <c r="A79" s="7"/>
      <c r="B79" s="7"/>
      <c r="C79" s="7"/>
      <c r="D79" s="7"/>
      <c r="E79" s="7"/>
      <c r="F79" s="7"/>
      <c r="G79" s="7"/>
      <c r="H79" s="7"/>
      <c r="I79" s="7"/>
      <c r="J79" s="7"/>
      <c r="K79" s="7"/>
      <c r="L79" s="7"/>
    </row>
    <row r="80" spans="1:14">
      <c r="A80" s="7" t="s">
        <v>1</v>
      </c>
      <c r="B80" s="7"/>
      <c r="C80" s="7"/>
      <c r="D80" s="7"/>
      <c r="E80" s="7"/>
      <c r="F80" s="7"/>
      <c r="G80" s="7"/>
      <c r="H80" s="7"/>
      <c r="I80" s="7"/>
      <c r="J80" s="7"/>
      <c r="K80" s="7"/>
      <c r="L80" s="7"/>
    </row>
    <row r="81" spans="1:12">
      <c r="A81" s="7"/>
      <c r="B81" s="7"/>
      <c r="C81" s="7"/>
      <c r="D81" s="7"/>
      <c r="E81" s="7"/>
      <c r="F81" s="7"/>
      <c r="G81" s="7"/>
      <c r="H81" s="7"/>
      <c r="I81" s="7"/>
      <c r="J81" s="7"/>
      <c r="K81" s="7"/>
      <c r="L81" s="7"/>
    </row>
    <row r="82" spans="1:12">
      <c r="A82" s="7" t="s">
        <v>324</v>
      </c>
      <c r="B82" s="7"/>
      <c r="C82" s="7"/>
      <c r="D82" s="7"/>
      <c r="E82" s="7"/>
      <c r="F82" s="7"/>
      <c r="G82" s="7"/>
      <c r="H82" s="7"/>
      <c r="I82" s="7"/>
      <c r="J82" s="7"/>
      <c r="K82" s="7"/>
      <c r="L82" s="7"/>
    </row>
    <row r="83" spans="1:12">
      <c r="A83" s="7" t="s">
        <v>325</v>
      </c>
    </row>
    <row r="84" spans="1:12">
      <c r="A84" s="7" t="s">
        <v>326</v>
      </c>
    </row>
    <row r="86" spans="1:12">
      <c r="A86" s="12"/>
      <c r="B86" s="12"/>
      <c r="C86" s="12"/>
      <c r="D86" s="12"/>
      <c r="E86" s="12"/>
      <c r="F86" s="12"/>
      <c r="G86" s="12"/>
      <c r="H86" s="10"/>
      <c r="I86" s="10"/>
      <c r="J86" s="10"/>
      <c r="K86" s="10"/>
      <c r="L86" s="10"/>
    </row>
    <row r="87" spans="1:12">
      <c r="A87" s="292" t="s">
        <v>26</v>
      </c>
      <c r="B87" s="292"/>
      <c r="C87" s="292"/>
      <c r="D87" s="292"/>
      <c r="E87" s="292"/>
      <c r="F87" s="292"/>
      <c r="G87" s="292"/>
      <c r="H87" s="292"/>
      <c r="I87" s="292"/>
      <c r="J87" s="292"/>
      <c r="K87" s="292"/>
      <c r="L87" s="10"/>
    </row>
    <row r="88" spans="1:12">
      <c r="A88" s="292"/>
      <c r="B88" s="292"/>
      <c r="C88" s="292"/>
      <c r="D88" s="292"/>
      <c r="E88" s="292"/>
      <c r="F88" s="292"/>
      <c r="G88" s="292"/>
      <c r="H88" s="292"/>
      <c r="I88" s="292"/>
      <c r="J88" s="292"/>
      <c r="K88" s="292"/>
      <c r="L88" s="10"/>
    </row>
    <row r="89" spans="1:12">
      <c r="A89" s="20"/>
      <c r="B89" s="20"/>
      <c r="C89" s="20"/>
      <c r="D89" s="20"/>
      <c r="E89" s="20"/>
      <c r="F89" s="20"/>
      <c r="G89" s="20"/>
      <c r="H89" s="20"/>
      <c r="I89" s="20"/>
      <c r="J89" s="20"/>
      <c r="K89" s="20"/>
      <c r="L89" s="10"/>
    </row>
    <row r="91" spans="1:12">
      <c r="A91" s="6" t="s">
        <v>3</v>
      </c>
      <c r="B91" s="9" t="s">
        <v>27</v>
      </c>
      <c r="C91" s="4"/>
      <c r="D91" s="4"/>
      <c r="E91" s="4"/>
      <c r="F91" s="4"/>
      <c r="G91" s="4"/>
      <c r="H91" s="4"/>
      <c r="I91" s="4"/>
      <c r="J91" s="4"/>
      <c r="K91" s="4"/>
      <c r="L91" s="4"/>
    </row>
    <row r="92" spans="1:12">
      <c r="A92" s="3"/>
      <c r="B92" s="3"/>
      <c r="C92" s="3"/>
      <c r="D92" s="3"/>
      <c r="E92" s="3"/>
      <c r="F92" s="3"/>
      <c r="G92" s="4"/>
      <c r="H92" s="4"/>
      <c r="I92" s="4"/>
      <c r="J92" s="4"/>
      <c r="K92" s="4"/>
      <c r="L92" s="4"/>
    </row>
    <row r="93" spans="1:12">
      <c r="A93" s="7"/>
      <c r="B93" s="7"/>
      <c r="C93" s="7"/>
      <c r="D93" s="7"/>
      <c r="E93" s="7"/>
      <c r="F93" s="7"/>
      <c r="G93" s="7"/>
      <c r="H93" s="7"/>
      <c r="I93" s="7"/>
      <c r="J93" s="7"/>
      <c r="K93" s="7"/>
      <c r="L93" s="7"/>
    </row>
    <row r="94" spans="1:12">
      <c r="A94" s="7" t="s">
        <v>1</v>
      </c>
      <c r="B94" s="7"/>
      <c r="C94" s="7"/>
      <c r="D94" s="7"/>
      <c r="E94" s="7"/>
      <c r="F94" s="7"/>
      <c r="G94" s="7"/>
      <c r="H94" s="7"/>
      <c r="I94" s="7"/>
      <c r="J94" s="7"/>
      <c r="K94" s="7"/>
      <c r="L94" s="7"/>
    </row>
    <row r="95" spans="1:12">
      <c r="A95" s="7"/>
      <c r="B95" s="7"/>
      <c r="C95" s="7"/>
      <c r="D95" s="7"/>
      <c r="E95" s="7"/>
      <c r="F95" s="7"/>
      <c r="G95" s="7"/>
      <c r="H95" s="7"/>
      <c r="I95" s="7"/>
      <c r="J95" s="7"/>
      <c r="K95" s="7"/>
      <c r="L95" s="7"/>
    </row>
    <row r="96" spans="1:12">
      <c r="A96" s="7" t="s">
        <v>327</v>
      </c>
      <c r="B96" s="7"/>
      <c r="C96" s="7"/>
      <c r="D96" s="7"/>
      <c r="E96" s="7"/>
      <c r="F96" s="7"/>
      <c r="G96" s="7"/>
      <c r="H96" s="7"/>
      <c r="I96" s="7"/>
      <c r="J96" s="7"/>
      <c r="K96" s="7"/>
      <c r="L96" s="7"/>
    </row>
  </sheetData>
  <mergeCells count="11">
    <mergeCell ref="M38:P38"/>
    <mergeCell ref="Q38:T38"/>
    <mergeCell ref="U38:X38"/>
    <mergeCell ref="Y38:AB38"/>
    <mergeCell ref="AC38:AF38"/>
    <mergeCell ref="B20:C20"/>
    <mergeCell ref="A57:K58"/>
    <mergeCell ref="B65:L66"/>
    <mergeCell ref="B76:L77"/>
    <mergeCell ref="A87:K88"/>
    <mergeCell ref="F70:G70"/>
  </mergeCells>
  <pageMargins left="0.7" right="0.7" top="0.75" bottom="0.75" header="0.3" footer="0.3"/>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F359E-EEAE-4E6F-9215-9B0FA6CF6B16}">
  <dimension ref="A1:L4"/>
  <sheetViews>
    <sheetView zoomScaleNormal="100" workbookViewId="0"/>
  </sheetViews>
  <sheetFormatPr defaultColWidth="8.88671875" defaultRowHeight="15.6"/>
  <cols>
    <col min="1" max="6" width="8.88671875" style="1" customWidth="1"/>
    <col min="7" max="7" width="8.88671875" style="1"/>
    <col min="8" max="8" width="8.88671875" style="1" customWidth="1"/>
    <col min="9" max="16384" width="8.88671875" style="1"/>
  </cols>
  <sheetData>
    <row r="1" spans="1:12" ht="17.399999999999999">
      <c r="A1" s="2" t="s">
        <v>148</v>
      </c>
      <c r="B1" s="4"/>
      <c r="C1" s="9" t="s">
        <v>11</v>
      </c>
      <c r="D1" s="4"/>
      <c r="E1" s="4"/>
      <c r="F1" s="4"/>
      <c r="G1" s="4"/>
      <c r="H1" s="4"/>
      <c r="I1" s="4"/>
      <c r="J1" s="4"/>
      <c r="K1" s="4"/>
      <c r="L1" s="3"/>
    </row>
    <row r="2" spans="1:12">
      <c r="A2" s="4"/>
      <c r="B2" s="4"/>
      <c r="C2" s="4"/>
      <c r="D2" s="4"/>
      <c r="E2" s="4"/>
      <c r="F2" s="4"/>
      <c r="G2" s="4"/>
      <c r="H2" s="4"/>
      <c r="I2" s="4"/>
      <c r="J2" s="4"/>
      <c r="K2" s="4"/>
      <c r="L2" s="3"/>
    </row>
    <row r="3" spans="1:12" ht="16.2">
      <c r="A3" s="14" t="s">
        <v>149</v>
      </c>
      <c r="B3" s="4"/>
      <c r="C3" s="4"/>
      <c r="D3" s="4"/>
      <c r="E3" s="4"/>
      <c r="F3" s="4"/>
      <c r="G3" s="4"/>
      <c r="H3" s="9"/>
      <c r="I3" s="9"/>
      <c r="J3" s="9"/>
      <c r="K3" s="9"/>
      <c r="L3" s="9"/>
    </row>
    <row r="4" spans="1:12">
      <c r="A4" s="4"/>
      <c r="B4" s="4"/>
      <c r="C4" s="4"/>
      <c r="D4" s="4"/>
      <c r="E4" s="4"/>
      <c r="F4" s="4"/>
      <c r="G4" s="4"/>
      <c r="H4" s="9"/>
      <c r="I4" s="9"/>
      <c r="J4" s="9"/>
      <c r="K4" s="9"/>
      <c r="L4" s="9"/>
    </row>
  </sheetData>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A7A04-B470-424F-A721-7084C7EB2664}">
  <dimension ref="A1:R69"/>
  <sheetViews>
    <sheetView zoomScaleNormal="100" workbookViewId="0"/>
  </sheetViews>
  <sheetFormatPr defaultColWidth="8.88671875" defaultRowHeight="15.6"/>
  <cols>
    <col min="1" max="1" width="12.6640625" style="1" customWidth="1"/>
    <col min="2" max="2" width="13.6640625" style="1" customWidth="1"/>
    <col min="3" max="8" width="12.77734375" style="1" customWidth="1"/>
    <col min="9" max="9" width="18.44140625" style="1" customWidth="1"/>
    <col min="10" max="16384" width="8.88671875" style="1"/>
  </cols>
  <sheetData>
    <row r="1" spans="1:12" ht="17.399999999999999">
      <c r="A1" s="2" t="s">
        <v>150</v>
      </c>
      <c r="B1" s="4"/>
      <c r="C1" s="9" t="s">
        <v>9</v>
      </c>
      <c r="D1" s="4"/>
      <c r="E1" s="4"/>
      <c r="F1" s="4"/>
      <c r="G1" s="4"/>
      <c r="H1" s="4"/>
      <c r="I1" s="4"/>
      <c r="J1" s="4"/>
      <c r="K1" s="4"/>
      <c r="L1" s="3"/>
    </row>
    <row r="2" spans="1:12">
      <c r="A2" s="4"/>
      <c r="B2" s="4"/>
      <c r="C2" s="4"/>
      <c r="D2" s="4"/>
      <c r="E2" s="4"/>
      <c r="F2" s="4"/>
      <c r="G2" s="4"/>
      <c r="H2" s="4"/>
      <c r="I2" s="4"/>
      <c r="J2" s="4"/>
      <c r="K2" s="4"/>
      <c r="L2" s="3"/>
    </row>
    <row r="3" spans="1:12">
      <c r="A3" s="9" t="s">
        <v>151</v>
      </c>
      <c r="B3" s="12"/>
      <c r="C3" s="12"/>
      <c r="D3" s="12"/>
      <c r="E3" s="12"/>
      <c r="F3" s="12"/>
      <c r="G3" s="12"/>
      <c r="H3" s="12"/>
      <c r="I3" s="12"/>
      <c r="J3" s="12"/>
      <c r="K3" s="4"/>
      <c r="L3" s="3"/>
    </row>
    <row r="4" spans="1:12" s="11" customFormat="1">
      <c r="A4" s="13"/>
      <c r="B4" s="12"/>
      <c r="C4" s="12"/>
      <c r="D4" s="12"/>
      <c r="E4" s="12"/>
      <c r="F4" s="12"/>
      <c r="G4" s="12"/>
      <c r="H4" s="10"/>
      <c r="I4" s="10"/>
      <c r="J4" s="10"/>
      <c r="K4" s="10"/>
      <c r="L4" s="10"/>
    </row>
    <row r="5" spans="1:12" s="11" customFormat="1">
      <c r="A5" s="13"/>
      <c r="B5" s="297" t="s">
        <v>255</v>
      </c>
      <c r="C5" s="291" t="s">
        <v>152</v>
      </c>
      <c r="D5" s="291"/>
      <c r="E5" s="291"/>
      <c r="F5" s="291"/>
      <c r="G5" s="291"/>
      <c r="H5" s="291"/>
      <c r="I5" s="297" t="s">
        <v>256</v>
      </c>
      <c r="J5" s="10"/>
      <c r="K5" s="10"/>
      <c r="L5" s="10"/>
    </row>
    <row r="6" spans="1:12" s="11" customFormat="1">
      <c r="A6" s="13"/>
      <c r="B6" s="297"/>
      <c r="C6" s="35">
        <v>6</v>
      </c>
      <c r="D6" s="35">
        <v>12</v>
      </c>
      <c r="E6" s="35">
        <v>18</v>
      </c>
      <c r="F6" s="35">
        <v>24</v>
      </c>
      <c r="G6" s="35">
        <v>30</v>
      </c>
      <c r="H6" s="35">
        <v>36</v>
      </c>
      <c r="I6" s="297"/>
      <c r="J6" s="10"/>
      <c r="K6" s="10"/>
      <c r="L6" s="10"/>
    </row>
    <row r="7" spans="1:12" s="11" customFormat="1">
      <c r="A7" s="13"/>
      <c r="B7" s="86" t="s">
        <v>195</v>
      </c>
      <c r="C7" s="17">
        <v>1985</v>
      </c>
      <c r="D7" s="16">
        <v>803</v>
      </c>
      <c r="E7" s="16">
        <v>374</v>
      </c>
      <c r="F7" s="16">
        <v>398</v>
      </c>
      <c r="G7" s="16">
        <v>154</v>
      </c>
      <c r="H7" s="16">
        <v>16</v>
      </c>
      <c r="I7" s="17">
        <v>3730</v>
      </c>
      <c r="J7" s="10"/>
      <c r="K7" s="10"/>
      <c r="L7" s="10"/>
    </row>
    <row r="8" spans="1:12" s="11" customFormat="1">
      <c r="A8" s="13"/>
      <c r="B8" s="86" t="s">
        <v>196</v>
      </c>
      <c r="C8" s="17">
        <v>1828</v>
      </c>
      <c r="D8" s="16">
        <v>863</v>
      </c>
      <c r="E8" s="16">
        <v>445</v>
      </c>
      <c r="F8" s="16">
        <v>449</v>
      </c>
      <c r="G8" s="16">
        <v>172</v>
      </c>
      <c r="H8" s="16"/>
      <c r="I8" s="17">
        <v>3776</v>
      </c>
      <c r="J8" s="10"/>
      <c r="K8" s="10"/>
      <c r="L8" s="10"/>
    </row>
    <row r="9" spans="1:12" s="11" customFormat="1">
      <c r="A9" s="12"/>
      <c r="B9" s="86" t="s">
        <v>197</v>
      </c>
      <c r="C9" s="17">
        <v>2012</v>
      </c>
      <c r="D9" s="16">
        <v>813</v>
      </c>
      <c r="E9" s="16">
        <v>363</v>
      </c>
      <c r="F9" s="16">
        <v>395</v>
      </c>
      <c r="G9" s="16"/>
      <c r="H9" s="16"/>
      <c r="I9" s="17">
        <v>3751</v>
      </c>
      <c r="J9" s="10"/>
      <c r="K9" s="10"/>
      <c r="L9" s="10"/>
    </row>
    <row r="10" spans="1:12" s="11" customFormat="1">
      <c r="A10" s="12"/>
      <c r="B10" s="86" t="s">
        <v>198</v>
      </c>
      <c r="C10" s="17">
        <v>1767</v>
      </c>
      <c r="D10" s="16">
        <v>832</v>
      </c>
      <c r="E10" s="16">
        <v>421</v>
      </c>
      <c r="F10" s="16"/>
      <c r="G10" s="16"/>
      <c r="H10" s="16"/>
      <c r="I10" s="17">
        <v>3676</v>
      </c>
      <c r="J10" s="10"/>
      <c r="K10" s="10"/>
      <c r="L10" s="10"/>
    </row>
    <row r="11" spans="1:12" s="11" customFormat="1">
      <c r="A11" s="13"/>
      <c r="B11" s="86" t="s">
        <v>199</v>
      </c>
      <c r="C11" s="17">
        <v>1988</v>
      </c>
      <c r="D11" s="16">
        <v>794</v>
      </c>
      <c r="E11" s="16"/>
      <c r="F11" s="16"/>
      <c r="G11" s="16"/>
      <c r="H11" s="16"/>
      <c r="I11" s="17">
        <v>3711</v>
      </c>
      <c r="J11" s="10"/>
      <c r="K11" s="10"/>
      <c r="L11" s="10"/>
    </row>
    <row r="12" spans="1:12" s="11" customFormat="1">
      <c r="A12" s="12"/>
      <c r="B12" s="86" t="s">
        <v>200</v>
      </c>
      <c r="C12" s="17">
        <v>1848</v>
      </c>
      <c r="D12" s="16"/>
      <c r="E12" s="16"/>
      <c r="F12" s="16"/>
      <c r="G12" s="16"/>
      <c r="H12" s="16"/>
      <c r="I12" s="17">
        <v>3811</v>
      </c>
      <c r="J12" s="10"/>
      <c r="K12" s="10"/>
      <c r="L12" s="10"/>
    </row>
    <row r="13" spans="1:12" s="11" customFormat="1">
      <c r="A13" s="12"/>
      <c r="B13" s="12"/>
      <c r="C13" s="12"/>
      <c r="D13" s="12"/>
      <c r="E13" s="12"/>
      <c r="F13" s="12"/>
      <c r="G13" s="12"/>
      <c r="H13" s="10"/>
      <c r="I13" s="10"/>
      <c r="J13" s="10"/>
      <c r="K13" s="10"/>
      <c r="L13" s="10"/>
    </row>
    <row r="14" spans="1:12">
      <c r="A14" s="12"/>
      <c r="B14" s="9" t="s">
        <v>153</v>
      </c>
      <c r="C14" s="12"/>
      <c r="D14" s="12"/>
      <c r="E14" s="12"/>
      <c r="F14" s="12"/>
      <c r="G14" s="12"/>
      <c r="H14" s="9"/>
      <c r="I14" s="9"/>
      <c r="J14" s="9"/>
      <c r="K14" s="9"/>
      <c r="L14" s="9"/>
    </row>
    <row r="15" spans="1:12">
      <c r="A15" s="9"/>
      <c r="B15" s="9"/>
      <c r="C15" s="9"/>
      <c r="D15" s="9"/>
      <c r="E15" s="9"/>
      <c r="F15" s="9"/>
      <c r="G15" s="9"/>
      <c r="H15" s="9"/>
      <c r="I15" s="9"/>
      <c r="J15" s="9"/>
      <c r="K15" s="9"/>
      <c r="L15" s="9"/>
    </row>
    <row r="17" spans="1:18">
      <c r="A17" s="6" t="s">
        <v>4</v>
      </c>
      <c r="B17" s="9" t="s">
        <v>154</v>
      </c>
      <c r="C17" s="4"/>
      <c r="D17" s="4"/>
      <c r="E17" s="4"/>
      <c r="F17" s="4"/>
      <c r="G17" s="4"/>
      <c r="H17" s="4"/>
      <c r="I17" s="4"/>
      <c r="J17" s="4"/>
      <c r="K17" s="4"/>
      <c r="L17" s="4"/>
      <c r="M17" s="8"/>
      <c r="N17" s="8"/>
      <c r="O17" s="8"/>
      <c r="P17" s="8"/>
      <c r="Q17" s="8"/>
      <c r="R17" s="8"/>
    </row>
    <row r="18" spans="1:18">
      <c r="A18" s="3"/>
      <c r="B18" s="3"/>
      <c r="C18" s="3"/>
      <c r="D18" s="3"/>
      <c r="E18" s="3"/>
      <c r="F18" s="3"/>
      <c r="G18" s="4"/>
      <c r="H18" s="4"/>
      <c r="I18" s="4"/>
      <c r="J18" s="4"/>
      <c r="K18" s="4"/>
      <c r="L18" s="4"/>
    </row>
    <row r="19" spans="1:18">
      <c r="A19" s="7"/>
      <c r="B19" s="7"/>
      <c r="C19" s="7"/>
      <c r="D19" s="7"/>
      <c r="E19" s="7"/>
      <c r="F19" s="7"/>
      <c r="G19" s="7"/>
      <c r="H19" s="7"/>
      <c r="I19" s="7"/>
      <c r="J19" s="7"/>
      <c r="K19" s="7"/>
      <c r="L19" s="7"/>
      <c r="M19" s="7"/>
    </row>
    <row r="20" spans="1:18">
      <c r="A20" s="7" t="s">
        <v>1</v>
      </c>
      <c r="B20" s="7"/>
      <c r="C20" s="7"/>
      <c r="D20" s="7"/>
      <c r="E20" s="7"/>
      <c r="F20" s="7"/>
      <c r="G20" s="7"/>
      <c r="H20" s="7"/>
      <c r="I20" s="7"/>
      <c r="J20" s="7"/>
      <c r="K20" s="7"/>
      <c r="L20" s="7"/>
      <c r="M20" s="7"/>
      <c r="N20" s="8"/>
    </row>
    <row r="21" spans="1:18">
      <c r="A21" s="7"/>
      <c r="B21" s="326" t="s">
        <v>430</v>
      </c>
      <c r="C21" s="294" t="s">
        <v>429</v>
      </c>
      <c r="D21" s="294"/>
      <c r="E21" s="294"/>
      <c r="F21" s="294"/>
      <c r="G21" s="294"/>
      <c r="H21" s="294"/>
      <c r="I21" s="93"/>
      <c r="J21" s="7"/>
      <c r="K21" s="7"/>
      <c r="L21" s="7"/>
      <c r="M21" s="7"/>
      <c r="N21" s="8"/>
    </row>
    <row r="22" spans="1:18">
      <c r="A22" s="7"/>
      <c r="B22" s="323"/>
      <c r="C22" s="128">
        <v>6</v>
      </c>
      <c r="D22" s="128">
        <f>C22+6</f>
        <v>12</v>
      </c>
      <c r="E22" s="128">
        <f t="shared" ref="E22:H22" si="0">D22+6</f>
        <v>18</v>
      </c>
      <c r="F22" s="128">
        <f t="shared" si="0"/>
        <v>24</v>
      </c>
      <c r="G22" s="128">
        <f t="shared" si="0"/>
        <v>30</v>
      </c>
      <c r="H22" s="128">
        <f t="shared" si="0"/>
        <v>36</v>
      </c>
      <c r="I22" s="93"/>
      <c r="J22" s="7"/>
      <c r="K22" s="7"/>
      <c r="L22" s="7"/>
      <c r="M22" s="7"/>
      <c r="N22" s="8"/>
    </row>
    <row r="23" spans="1:18">
      <c r="A23" s="7"/>
      <c r="B23" s="132" t="s">
        <v>195</v>
      </c>
      <c r="C23" s="201">
        <f t="shared" ref="C23:C28" si="1">C7/I7</f>
        <v>0.53217158176943702</v>
      </c>
      <c r="D23" s="201">
        <f>D7/(I7-C7)</f>
        <v>0.46017191977077365</v>
      </c>
      <c r="E23" s="201">
        <f>E7/($I7-SUM($C7:D7))</f>
        <v>0.39702760084925692</v>
      </c>
      <c r="F23" s="201">
        <f>F7/($I7-SUM($C7:E7))</f>
        <v>0.70070422535211263</v>
      </c>
      <c r="G23" s="201">
        <f>G7/($I7-SUM($C7:F7))</f>
        <v>0.90588235294117647</v>
      </c>
      <c r="H23" s="201">
        <f>H7/($I7-SUM($C7:G7))</f>
        <v>1</v>
      </c>
      <c r="I23" s="93"/>
      <c r="J23" s="7"/>
      <c r="K23" s="7"/>
      <c r="L23" s="7"/>
      <c r="M23" s="7"/>
      <c r="N23" s="8"/>
    </row>
    <row r="24" spans="1:18">
      <c r="A24" s="7"/>
      <c r="B24" s="132" t="s">
        <v>196</v>
      </c>
      <c r="C24" s="201">
        <f t="shared" si="1"/>
        <v>0.48411016949152541</v>
      </c>
      <c r="D24" s="201">
        <f>D8/(I8-C8)</f>
        <v>0.44301848049281312</v>
      </c>
      <c r="E24" s="201">
        <f>E8/($I8-SUM($C8:D8))</f>
        <v>0.41013824884792627</v>
      </c>
      <c r="F24" s="201">
        <f>F8/($I8-SUM($C8:E8))</f>
        <v>0.70156249999999998</v>
      </c>
      <c r="G24" s="201">
        <f>G8/($I8-SUM($C8:F8))</f>
        <v>0.90052356020942403</v>
      </c>
      <c r="H24" s="201"/>
      <c r="I24" s="93"/>
      <c r="J24" s="7"/>
      <c r="K24" s="7"/>
      <c r="L24" s="7"/>
      <c r="M24" s="7"/>
      <c r="N24" s="8"/>
    </row>
    <row r="25" spans="1:18">
      <c r="A25" s="7"/>
      <c r="B25" s="132" t="s">
        <v>197</v>
      </c>
      <c r="C25" s="201">
        <f t="shared" si="1"/>
        <v>0.53639029592108767</v>
      </c>
      <c r="D25" s="201">
        <f>D9/(I9-C9)</f>
        <v>0.46751006325474409</v>
      </c>
      <c r="E25" s="201">
        <f>E9/($I9-SUM($C9:D9))</f>
        <v>0.39200863930885527</v>
      </c>
      <c r="F25" s="201">
        <f>F9/($I9-SUM($C9:E9))</f>
        <v>0.70159857904085254</v>
      </c>
      <c r="G25" s="201"/>
      <c r="H25" s="201"/>
      <c r="I25" s="93"/>
      <c r="J25" s="7"/>
      <c r="K25" s="7"/>
      <c r="L25" s="7"/>
      <c r="M25" s="7"/>
      <c r="N25" s="8"/>
    </row>
    <row r="26" spans="1:18">
      <c r="A26" s="7"/>
      <c r="B26" s="132" t="s">
        <v>198</v>
      </c>
      <c r="C26" s="201">
        <f t="shared" si="1"/>
        <v>0.48068552774755169</v>
      </c>
      <c r="D26" s="201">
        <f>D10/(I10-C10)</f>
        <v>0.43583027763226823</v>
      </c>
      <c r="E26" s="201">
        <f>E10/($I10-SUM($C10:D10))</f>
        <v>0.39090064995357476</v>
      </c>
      <c r="F26" s="201"/>
      <c r="G26" s="201"/>
      <c r="H26" s="201"/>
      <c r="I26" s="93"/>
      <c r="J26" s="7"/>
      <c r="K26" s="7"/>
      <c r="L26" s="7"/>
      <c r="M26" s="7"/>
      <c r="N26" s="8"/>
    </row>
    <row r="27" spans="1:18">
      <c r="A27" s="7"/>
      <c r="B27" s="132" t="s">
        <v>199</v>
      </c>
      <c r="C27" s="201">
        <f t="shared" si="1"/>
        <v>0.53570466181622201</v>
      </c>
      <c r="D27" s="201">
        <f>D11/(I11-C11)</f>
        <v>0.4608241439349971</v>
      </c>
      <c r="E27" s="201"/>
      <c r="F27" s="201"/>
      <c r="G27" s="201"/>
      <c r="H27" s="201"/>
      <c r="I27" s="93"/>
      <c r="J27" s="7"/>
      <c r="K27" s="7"/>
      <c r="L27" s="7"/>
      <c r="M27" s="7"/>
      <c r="N27" s="8"/>
    </row>
    <row r="28" spans="1:18">
      <c r="A28" s="7"/>
      <c r="B28" s="132" t="s">
        <v>200</v>
      </c>
      <c r="C28" s="201">
        <f t="shared" si="1"/>
        <v>0.484912096562582</v>
      </c>
      <c r="D28" s="201"/>
      <c r="E28" s="201"/>
      <c r="F28" s="201"/>
      <c r="G28" s="201"/>
      <c r="H28" s="201"/>
      <c r="I28" s="93"/>
      <c r="J28" s="7"/>
      <c r="K28" s="7"/>
      <c r="L28" s="7"/>
      <c r="M28" s="7"/>
      <c r="N28" s="8"/>
    </row>
    <row r="29" spans="1:18">
      <c r="A29" s="7"/>
      <c r="B29" s="93"/>
      <c r="C29" s="93"/>
      <c r="D29" s="93"/>
      <c r="E29" s="93"/>
      <c r="F29" s="93"/>
      <c r="G29" s="93"/>
      <c r="H29" s="93"/>
      <c r="I29" s="93"/>
      <c r="J29" s="7"/>
      <c r="K29" s="7"/>
      <c r="L29" s="7"/>
      <c r="M29" s="7"/>
      <c r="N29" s="8"/>
    </row>
    <row r="30" spans="1:18">
      <c r="A30" s="7"/>
      <c r="B30" s="132" t="s">
        <v>435</v>
      </c>
      <c r="C30" s="93"/>
      <c r="D30" s="93"/>
      <c r="E30" s="93"/>
      <c r="F30" s="93"/>
      <c r="G30" s="93"/>
      <c r="H30" s="93"/>
      <c r="I30" s="93"/>
      <c r="J30" s="7"/>
      <c r="K30" s="7"/>
      <c r="L30" s="7"/>
      <c r="M30" s="7"/>
      <c r="N30" s="8"/>
    </row>
    <row r="31" spans="1:18">
      <c r="A31" s="7"/>
      <c r="B31" s="132" t="s">
        <v>431</v>
      </c>
      <c r="C31" s="201">
        <f t="shared" ref="C31:E32" si="2">AVERAGE(C23,C25,C27)</f>
        <v>0.53475551316891556</v>
      </c>
      <c r="D31" s="201">
        <f t="shared" si="2"/>
        <v>0.46283537565350491</v>
      </c>
      <c r="E31" s="201">
        <f t="shared" si="2"/>
        <v>0.39451812007905607</v>
      </c>
      <c r="F31" s="201"/>
      <c r="G31" s="201"/>
      <c r="H31" s="201"/>
      <c r="I31" s="93"/>
      <c r="J31" s="7"/>
      <c r="K31" s="7"/>
      <c r="L31" s="7"/>
      <c r="M31" s="7"/>
      <c r="N31" s="8"/>
    </row>
    <row r="32" spans="1:18">
      <c r="A32" s="7"/>
      <c r="B32" s="132" t="s">
        <v>432</v>
      </c>
      <c r="C32" s="201">
        <f t="shared" si="2"/>
        <v>0.4832359312672197</v>
      </c>
      <c r="D32" s="201">
        <f t="shared" si="2"/>
        <v>0.43942437906254067</v>
      </c>
      <c r="E32" s="201">
        <f t="shared" si="2"/>
        <v>0.40051944940075052</v>
      </c>
      <c r="F32" s="201"/>
      <c r="G32" s="201"/>
      <c r="H32" s="201"/>
      <c r="I32" s="93"/>
      <c r="J32" s="7"/>
      <c r="K32" s="7"/>
      <c r="L32" s="7"/>
      <c r="M32" s="7"/>
      <c r="N32" s="8"/>
    </row>
    <row r="33" spans="1:14">
      <c r="A33" s="7"/>
      <c r="B33" s="132" t="s">
        <v>433</v>
      </c>
      <c r="C33" s="201">
        <f>AVERAGE(C23:C28)</f>
        <v>0.50899572221806755</v>
      </c>
      <c r="D33" s="201">
        <f t="shared" ref="D33:G33" si="3">AVERAGE(D23:D28)</f>
        <v>0.45347097701711919</v>
      </c>
      <c r="E33" s="201">
        <f t="shared" si="3"/>
        <v>0.39751878473990332</v>
      </c>
      <c r="F33" s="201">
        <f t="shared" si="3"/>
        <v>0.70128843479765501</v>
      </c>
      <c r="G33" s="201">
        <f t="shared" si="3"/>
        <v>0.90320295657530025</v>
      </c>
      <c r="H33" s="201">
        <f>AVERAGE(H23:H28)</f>
        <v>1</v>
      </c>
      <c r="I33" s="93"/>
      <c r="J33" s="7"/>
      <c r="K33" s="7"/>
      <c r="L33" s="7"/>
      <c r="M33" s="7"/>
      <c r="N33" s="8"/>
    </row>
    <row r="34" spans="1:14">
      <c r="A34" s="7"/>
      <c r="B34" s="132"/>
      <c r="C34" s="201"/>
      <c r="D34" s="201"/>
      <c r="E34" s="201"/>
      <c r="F34" s="201"/>
      <c r="G34" s="201"/>
      <c r="H34" s="201"/>
      <c r="I34" s="93"/>
      <c r="J34" s="7"/>
      <c r="K34" s="7"/>
      <c r="L34" s="7"/>
      <c r="M34" s="7"/>
      <c r="N34" s="8"/>
    </row>
    <row r="35" spans="1:14">
      <c r="A35" s="7"/>
      <c r="B35" s="132" t="s">
        <v>359</v>
      </c>
      <c r="C35" s="201"/>
      <c r="D35" s="201"/>
      <c r="E35" s="201"/>
      <c r="F35" s="201"/>
      <c r="G35" s="201"/>
      <c r="H35" s="201"/>
      <c r="I35" s="93"/>
      <c r="J35" s="7"/>
      <c r="K35" s="7"/>
      <c r="L35" s="7"/>
      <c r="M35" s="7"/>
      <c r="N35" s="8"/>
    </row>
    <row r="36" spans="1:14">
      <c r="A36" s="7"/>
      <c r="B36" s="132" t="s">
        <v>431</v>
      </c>
      <c r="C36" s="201">
        <f>C31</f>
        <v>0.53475551316891556</v>
      </c>
      <c r="D36" s="201">
        <f t="shared" ref="D36:E36" si="4">D31</f>
        <v>0.46283537565350491</v>
      </c>
      <c r="E36" s="201">
        <f t="shared" si="4"/>
        <v>0.39451812007905607</v>
      </c>
      <c r="F36" s="201">
        <f>F33</f>
        <v>0.70128843479765501</v>
      </c>
      <c r="G36" s="201">
        <f>G33</f>
        <v>0.90320295657530025</v>
      </c>
      <c r="H36" s="201">
        <f>H33</f>
        <v>1</v>
      </c>
      <c r="I36" s="93"/>
      <c r="J36" s="7"/>
      <c r="K36" s="7"/>
      <c r="L36" s="7"/>
      <c r="M36" s="7"/>
      <c r="N36" s="8"/>
    </row>
    <row r="37" spans="1:14">
      <c r="A37" s="7"/>
      <c r="B37" s="132" t="s">
        <v>432</v>
      </c>
      <c r="C37" s="201">
        <f>C32</f>
        <v>0.4832359312672197</v>
      </c>
      <c r="D37" s="201">
        <f>D32</f>
        <v>0.43942437906254067</v>
      </c>
      <c r="E37" s="201">
        <f>E32</f>
        <v>0.40051944940075052</v>
      </c>
      <c r="F37" s="201">
        <f>F36</f>
        <v>0.70128843479765501</v>
      </c>
      <c r="G37" s="201">
        <f>G36</f>
        <v>0.90320295657530025</v>
      </c>
      <c r="H37" s="201">
        <f>H36</f>
        <v>1</v>
      </c>
      <c r="I37" s="93"/>
      <c r="J37" s="7"/>
      <c r="K37" s="7"/>
      <c r="L37" s="7"/>
      <c r="M37" s="7"/>
      <c r="N37" s="8"/>
    </row>
    <row r="38" spans="1:14">
      <c r="A38" s="7"/>
      <c r="B38" s="93"/>
      <c r="C38" s="93"/>
      <c r="D38" s="93"/>
      <c r="E38" s="93"/>
      <c r="F38" s="93"/>
      <c r="G38" s="93"/>
      <c r="H38" s="93"/>
      <c r="I38" s="93"/>
      <c r="J38" s="7"/>
      <c r="K38" s="7"/>
      <c r="L38" s="7"/>
      <c r="M38" s="7"/>
      <c r="N38" s="8"/>
    </row>
    <row r="39" spans="1:14">
      <c r="A39" s="7"/>
      <c r="B39" s="327" t="s">
        <v>434</v>
      </c>
      <c r="C39" s="327"/>
      <c r="D39" s="327"/>
      <c r="E39" s="327"/>
      <c r="F39" s="327"/>
      <c r="G39" s="327"/>
      <c r="H39" s="327"/>
      <c r="I39" s="128" t="s">
        <v>127</v>
      </c>
      <c r="J39" s="7"/>
      <c r="K39" s="7"/>
      <c r="L39" s="7"/>
      <c r="M39" s="7"/>
      <c r="N39" s="8"/>
    </row>
    <row r="40" spans="1:14">
      <c r="B40" s="132" t="s">
        <v>199</v>
      </c>
      <c r="C40" s="131">
        <f>C11</f>
        <v>1988</v>
      </c>
      <c r="D40" s="131">
        <f>D11</f>
        <v>794</v>
      </c>
      <c r="E40" s="227">
        <f>E36*($I40-SUM($C40:D40))</f>
        <v>366.50733355344306</v>
      </c>
      <c r="F40" s="227">
        <f>F36*($I40-SUM($C40:E40))</f>
        <v>394.46960163746542</v>
      </c>
      <c r="G40" s="227">
        <f>G36*($I40-SUM($C40:F40))</f>
        <v>151.7589289084147</v>
      </c>
      <c r="H40" s="227">
        <f>H36*($I40-SUM($C40:G40))</f>
        <v>16.264135900676592</v>
      </c>
      <c r="I40" s="131">
        <f>I11</f>
        <v>3711</v>
      </c>
      <c r="M40" s="8"/>
      <c r="N40" s="8"/>
    </row>
    <row r="41" spans="1:14">
      <c r="B41" s="132" t="s">
        <v>200</v>
      </c>
      <c r="C41" s="131">
        <f>C12</f>
        <v>1848</v>
      </c>
      <c r="D41" s="227">
        <f>D37*($I41-SUM($C41:C41))</f>
        <v>862.59005609976737</v>
      </c>
      <c r="E41" s="227">
        <f>E37*($I41-SUM($C41:D41))</f>
        <v>440.73558484603188</v>
      </c>
      <c r="F41" s="227">
        <f>F37*($I41-SUM($C41:E41))</f>
        <v>462.62199873726655</v>
      </c>
      <c r="G41" s="227">
        <f>G37*($I41-SUM($C41:F41))</f>
        <v>177.97827443839617</v>
      </c>
      <c r="H41" s="227">
        <f>H37*($I41-SUM($C41:G41))</f>
        <v>19.074085878537971</v>
      </c>
      <c r="I41" s="131">
        <f>I12</f>
        <v>3811</v>
      </c>
      <c r="M41" s="8"/>
      <c r="N41" s="8"/>
    </row>
    <row r="42" spans="1:14">
      <c r="M42" s="8"/>
      <c r="N42" s="8"/>
    </row>
    <row r="43" spans="1:14">
      <c r="A43" s="9"/>
      <c r="B43" s="9"/>
      <c r="C43" s="9"/>
      <c r="D43" s="9"/>
      <c r="E43" s="9"/>
      <c r="F43" s="9"/>
      <c r="G43" s="9"/>
      <c r="H43" s="9"/>
      <c r="I43" s="9"/>
      <c r="J43" s="9"/>
      <c r="K43" s="9"/>
      <c r="L43" s="9"/>
      <c r="M43" s="8"/>
      <c r="N43" s="8"/>
    </row>
    <row r="44" spans="1:14">
      <c r="A44" s="9" t="s">
        <v>155</v>
      </c>
      <c r="B44" s="9"/>
      <c r="C44" s="9"/>
      <c r="D44" s="89"/>
      <c r="E44" s="9"/>
      <c r="F44" s="9"/>
      <c r="G44" s="9"/>
      <c r="H44" s="9"/>
      <c r="I44" s="9"/>
      <c r="J44" s="9"/>
      <c r="K44" s="9"/>
      <c r="L44" s="9"/>
      <c r="M44" s="8"/>
      <c r="N44" s="8"/>
    </row>
    <row r="45" spans="1:14">
      <c r="A45" s="9"/>
      <c r="B45" s="9"/>
      <c r="C45" s="9"/>
      <c r="D45" s="9"/>
      <c r="E45" s="9"/>
      <c r="F45" s="9"/>
      <c r="G45" s="9"/>
      <c r="H45" s="9"/>
      <c r="I45" s="9"/>
      <c r="J45" s="9"/>
      <c r="K45" s="9"/>
      <c r="L45" s="9"/>
      <c r="M45" s="8"/>
      <c r="N45" s="8"/>
    </row>
    <row r="46" spans="1:14">
      <c r="A46" s="9"/>
      <c r="B46" s="291" t="s">
        <v>156</v>
      </c>
      <c r="C46" s="291"/>
      <c r="D46" s="291"/>
      <c r="E46" s="291"/>
      <c r="F46" s="291"/>
      <c r="G46" s="291"/>
      <c r="H46" s="89"/>
      <c r="I46" s="9"/>
      <c r="J46" s="9"/>
      <c r="K46" s="9"/>
      <c r="L46" s="9"/>
      <c r="M46" s="8"/>
      <c r="N46" s="8"/>
    </row>
    <row r="47" spans="1:14">
      <c r="A47" s="9"/>
      <c r="B47" s="91">
        <v>6</v>
      </c>
      <c r="C47" s="91">
        <v>12</v>
      </c>
      <c r="D47" s="91">
        <v>18</v>
      </c>
      <c r="E47" s="91">
        <v>24</v>
      </c>
      <c r="F47" s="91">
        <v>30</v>
      </c>
      <c r="G47" s="91">
        <v>36</v>
      </c>
      <c r="H47" s="89"/>
      <c r="I47" s="9"/>
      <c r="J47" s="9"/>
      <c r="K47" s="9"/>
      <c r="L47" s="9"/>
      <c r="M47" s="8"/>
      <c r="N47" s="8"/>
    </row>
    <row r="48" spans="1:14">
      <c r="A48" s="9"/>
      <c r="B48" s="92">
        <v>1500</v>
      </c>
      <c r="C48" s="92">
        <v>5200</v>
      </c>
      <c r="D48" s="92">
        <v>7450</v>
      </c>
      <c r="E48" s="92">
        <v>24500</v>
      </c>
      <c r="F48" s="92">
        <v>38500</v>
      </c>
      <c r="G48" s="92">
        <v>42100</v>
      </c>
      <c r="H48" s="89"/>
      <c r="I48" s="9"/>
      <c r="J48" s="9"/>
      <c r="K48" s="9"/>
      <c r="L48" s="9"/>
      <c r="M48" s="8"/>
      <c r="N48" s="8"/>
    </row>
    <row r="49" spans="1:14">
      <c r="A49" s="9"/>
      <c r="B49" s="9"/>
      <c r="C49" s="9"/>
      <c r="D49" s="9"/>
      <c r="E49" s="9"/>
      <c r="F49" s="9"/>
      <c r="G49" s="9"/>
      <c r="H49" s="9"/>
      <c r="I49" s="9"/>
      <c r="J49" s="9"/>
      <c r="K49" s="9"/>
      <c r="L49" s="9"/>
      <c r="M49" s="8"/>
      <c r="N49" s="8"/>
    </row>
    <row r="50" spans="1:14">
      <c r="A50" s="9"/>
      <c r="B50" s="9" t="s">
        <v>157</v>
      </c>
      <c r="C50" s="9"/>
      <c r="D50" s="48">
        <v>7.0000000000000007E-2</v>
      </c>
      <c r="E50" s="9"/>
      <c r="F50" s="9"/>
      <c r="G50" s="9"/>
      <c r="H50" s="9"/>
      <c r="I50" s="9"/>
      <c r="J50" s="9"/>
      <c r="K50" s="9"/>
      <c r="L50" s="9"/>
      <c r="M50" s="8"/>
      <c r="N50" s="8"/>
    </row>
    <row r="51" spans="1:14">
      <c r="A51" s="9"/>
      <c r="B51" s="9"/>
      <c r="C51" s="9"/>
      <c r="D51" s="9"/>
      <c r="E51" s="9"/>
      <c r="F51" s="9"/>
      <c r="G51" s="9"/>
      <c r="H51" s="9"/>
      <c r="I51" s="9"/>
      <c r="J51" s="9"/>
      <c r="K51" s="9"/>
      <c r="L51" s="9"/>
      <c r="M51" s="8"/>
      <c r="N51" s="8"/>
    </row>
    <row r="53" spans="1:14">
      <c r="A53" s="6" t="s">
        <v>5</v>
      </c>
      <c r="B53" s="9" t="s">
        <v>158</v>
      </c>
      <c r="C53" s="4"/>
      <c r="D53" s="4"/>
      <c r="E53" s="4"/>
      <c r="F53" s="4"/>
      <c r="G53" s="4"/>
      <c r="H53" s="4"/>
      <c r="I53" s="4"/>
      <c r="J53" s="4"/>
      <c r="K53" s="4"/>
      <c r="L53" s="4"/>
    </row>
    <row r="54" spans="1:14">
      <c r="A54" s="3"/>
      <c r="B54" s="3"/>
      <c r="C54" s="3"/>
      <c r="D54" s="3"/>
      <c r="E54" s="3"/>
      <c r="F54" s="3"/>
      <c r="G54" s="4"/>
      <c r="H54" s="4"/>
      <c r="I54" s="4"/>
      <c r="J54" s="4"/>
      <c r="K54" s="4"/>
      <c r="L54" s="4"/>
    </row>
    <row r="55" spans="1:14">
      <c r="A55" s="7"/>
      <c r="B55" s="7"/>
      <c r="C55" s="7"/>
      <c r="D55" s="7"/>
      <c r="E55" s="7"/>
      <c r="F55" s="7"/>
      <c r="G55" s="7"/>
      <c r="H55" s="7"/>
      <c r="I55" s="7"/>
      <c r="J55" s="7"/>
      <c r="K55" s="7"/>
      <c r="L55" s="7"/>
    </row>
    <row r="56" spans="1:14">
      <c r="A56" s="7" t="s">
        <v>1</v>
      </c>
      <c r="B56" s="7"/>
      <c r="C56" s="7"/>
      <c r="D56" s="7"/>
      <c r="E56" s="7"/>
      <c r="F56" s="7"/>
      <c r="G56" s="7"/>
      <c r="H56" s="7"/>
      <c r="I56" s="7"/>
      <c r="J56" s="7"/>
      <c r="K56" s="7"/>
      <c r="L56" s="7"/>
    </row>
    <row r="57" spans="1:14">
      <c r="A57" s="7"/>
      <c r="B57" s="151"/>
      <c r="C57" s="317" t="s">
        <v>436</v>
      </c>
      <c r="D57" s="317"/>
      <c r="E57" s="317"/>
      <c r="F57" s="317"/>
      <c r="G57" s="317"/>
      <c r="H57" s="317"/>
      <c r="I57" s="151"/>
      <c r="J57" s="7"/>
      <c r="K57" s="7"/>
      <c r="L57" s="7"/>
    </row>
    <row r="58" spans="1:14">
      <c r="A58" s="7"/>
      <c r="B58" s="192" t="s">
        <v>437</v>
      </c>
      <c r="C58" s="128">
        <v>6</v>
      </c>
      <c r="D58" s="128">
        <f>C58+6</f>
        <v>12</v>
      </c>
      <c r="E58" s="128">
        <f t="shared" ref="E58:H58" si="5">D58+6</f>
        <v>18</v>
      </c>
      <c r="F58" s="128">
        <f t="shared" si="5"/>
        <v>24</v>
      </c>
      <c r="G58" s="128">
        <f t="shared" si="5"/>
        <v>30</v>
      </c>
      <c r="H58" s="128">
        <f t="shared" si="5"/>
        <v>36</v>
      </c>
      <c r="I58" s="151"/>
      <c r="J58" s="7"/>
      <c r="K58" s="7"/>
      <c r="L58" s="7"/>
    </row>
    <row r="59" spans="1:14">
      <c r="B59" s="151" t="s">
        <v>199</v>
      </c>
      <c r="C59" s="229">
        <f t="shared" ref="C59:H59" si="6">C60*(1+$D$50)^(-0.5)</f>
        <v>1450.1047335684952</v>
      </c>
      <c r="D59" s="229">
        <f t="shared" si="6"/>
        <v>5027.0297430374503</v>
      </c>
      <c r="E59" s="229">
        <f t="shared" si="6"/>
        <v>7202.1868433901936</v>
      </c>
      <c r="F59" s="229">
        <f t="shared" si="6"/>
        <v>23685.043981618757</v>
      </c>
      <c r="G59" s="229">
        <f t="shared" si="6"/>
        <v>37219.354828258045</v>
      </c>
      <c r="H59" s="229">
        <f t="shared" si="6"/>
        <v>40699.606188822436</v>
      </c>
      <c r="I59" s="151"/>
      <c r="M59" s="7"/>
    </row>
    <row r="60" spans="1:14">
      <c r="B60" s="151" t="s">
        <v>200</v>
      </c>
      <c r="C60" s="229">
        <f t="shared" ref="C60:H60" si="7">B48</f>
        <v>1500</v>
      </c>
      <c r="D60" s="229">
        <f t="shared" si="7"/>
        <v>5200</v>
      </c>
      <c r="E60" s="229">
        <f t="shared" si="7"/>
        <v>7450</v>
      </c>
      <c r="F60" s="229">
        <f t="shared" si="7"/>
        <v>24500</v>
      </c>
      <c r="G60" s="229">
        <f t="shared" si="7"/>
        <v>38500</v>
      </c>
      <c r="H60" s="229">
        <f t="shared" si="7"/>
        <v>42100</v>
      </c>
      <c r="I60" s="151"/>
      <c r="M60" s="7"/>
    </row>
    <row r="61" spans="1:14">
      <c r="B61" s="151"/>
      <c r="C61" s="151"/>
      <c r="D61" s="151"/>
      <c r="E61" s="151"/>
      <c r="F61" s="151"/>
      <c r="G61" s="151"/>
      <c r="H61" s="151"/>
      <c r="I61" s="151"/>
      <c r="M61" s="7"/>
    </row>
    <row r="62" spans="1:14">
      <c r="B62" s="151"/>
      <c r="C62" s="317" t="s">
        <v>438</v>
      </c>
      <c r="D62" s="317"/>
      <c r="E62" s="317"/>
      <c r="F62" s="317"/>
      <c r="G62" s="317"/>
      <c r="H62" s="317"/>
      <c r="I62" s="151"/>
    </row>
    <row r="63" spans="1:14">
      <c r="B63" s="192" t="s">
        <v>437</v>
      </c>
      <c r="C63" s="128">
        <v>6</v>
      </c>
      <c r="D63" s="128">
        <f>C63+6</f>
        <v>12</v>
      </c>
      <c r="E63" s="128">
        <f t="shared" ref="E63:H63" si="8">D63+6</f>
        <v>18</v>
      </c>
      <c r="F63" s="128">
        <f t="shared" si="8"/>
        <v>24</v>
      </c>
      <c r="G63" s="128">
        <f t="shared" si="8"/>
        <v>30</v>
      </c>
      <c r="H63" s="128">
        <f t="shared" si="8"/>
        <v>36</v>
      </c>
      <c r="I63" s="151"/>
    </row>
    <row r="64" spans="1:14">
      <c r="B64" s="151" t="s">
        <v>199</v>
      </c>
      <c r="C64" s="172"/>
      <c r="D64" s="172"/>
      <c r="E64" s="172">
        <f t="shared" ref="E64:H65" si="9">E59*E40</f>
        <v>2639654.295724629</v>
      </c>
      <c r="F64" s="172">
        <f t="shared" si="9"/>
        <v>9343029.8641949985</v>
      </c>
      <c r="G64" s="172">
        <f t="shared" si="9"/>
        <v>5648369.4233986745</v>
      </c>
      <c r="H64" s="172">
        <f t="shared" si="9"/>
        <v>661943.92615902622</v>
      </c>
      <c r="I64" s="151"/>
    </row>
    <row r="65" spans="2:9">
      <c r="B65" s="151" t="s">
        <v>200</v>
      </c>
      <c r="C65" s="172"/>
      <c r="D65" s="172">
        <f>D60*D41</f>
        <v>4485468.2917187903</v>
      </c>
      <c r="E65" s="172">
        <f t="shared" si="9"/>
        <v>3283480.1071029375</v>
      </c>
      <c r="F65" s="172">
        <f t="shared" si="9"/>
        <v>11334238.969063031</v>
      </c>
      <c r="G65" s="172">
        <f t="shared" si="9"/>
        <v>6852163.5658782525</v>
      </c>
      <c r="H65" s="172">
        <f t="shared" si="9"/>
        <v>803019.01548644865</v>
      </c>
      <c r="I65" s="151"/>
    </row>
    <row r="66" spans="2:9">
      <c r="B66" s="151"/>
      <c r="C66" s="151"/>
      <c r="D66" s="151"/>
      <c r="E66" s="151"/>
      <c r="F66" s="151"/>
      <c r="G66" s="151"/>
      <c r="H66" s="151"/>
      <c r="I66" s="151"/>
    </row>
    <row r="67" spans="2:9">
      <c r="B67" s="151" t="s">
        <v>439</v>
      </c>
      <c r="C67" s="151"/>
      <c r="E67" s="220">
        <f>SUM(D64:H65)</f>
        <v>45051367.458726786</v>
      </c>
      <c r="F67" s="151"/>
      <c r="G67" s="151"/>
      <c r="H67" s="151"/>
      <c r="I67" s="151"/>
    </row>
    <row r="68" spans="2:9">
      <c r="B68" s="151"/>
      <c r="C68" s="151"/>
      <c r="D68" s="151"/>
      <c r="E68" s="151"/>
      <c r="F68" s="151"/>
      <c r="G68" s="151"/>
      <c r="H68" s="151"/>
      <c r="I68" s="151"/>
    </row>
    <row r="69" spans="2:9">
      <c r="B69" s="151"/>
      <c r="C69" s="151"/>
      <c r="D69" s="151"/>
      <c r="E69" s="151"/>
      <c r="F69" s="151"/>
      <c r="G69" s="151"/>
      <c r="H69" s="151"/>
      <c r="I69" s="151"/>
    </row>
  </sheetData>
  <mergeCells count="9">
    <mergeCell ref="C57:H57"/>
    <mergeCell ref="C62:H62"/>
    <mergeCell ref="B5:B6"/>
    <mergeCell ref="C5:H5"/>
    <mergeCell ref="I5:I6"/>
    <mergeCell ref="B46:G46"/>
    <mergeCell ref="C21:H21"/>
    <mergeCell ref="B21:B22"/>
    <mergeCell ref="B39:H39"/>
  </mergeCell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5FDAB-78DE-4D3E-839B-E1E23EE993D7}">
  <dimension ref="A1:R61"/>
  <sheetViews>
    <sheetView zoomScaleNormal="100" workbookViewId="0"/>
  </sheetViews>
  <sheetFormatPr defaultColWidth="8.88671875" defaultRowHeight="15.6"/>
  <cols>
    <col min="1" max="1" width="8.88671875" style="1" customWidth="1"/>
    <col min="2" max="12" width="14.6640625" style="1" customWidth="1"/>
    <col min="13" max="16384" width="8.88671875" style="1"/>
  </cols>
  <sheetData>
    <row r="1" spans="1:12" ht="17.399999999999999">
      <c r="A1" s="2" t="s">
        <v>159</v>
      </c>
      <c r="B1" s="4"/>
      <c r="C1" s="9" t="s">
        <v>9</v>
      </c>
      <c r="D1" s="4"/>
      <c r="E1" s="4"/>
      <c r="F1" s="4"/>
      <c r="G1" s="4"/>
      <c r="H1" s="4"/>
      <c r="I1" s="4"/>
      <c r="J1" s="4"/>
      <c r="K1" s="4"/>
      <c r="L1" s="3"/>
    </row>
    <row r="2" spans="1:12">
      <c r="A2" s="4"/>
      <c r="B2" s="4"/>
      <c r="C2" s="4"/>
      <c r="D2" s="4"/>
      <c r="E2" s="4"/>
      <c r="F2" s="4"/>
      <c r="G2" s="4"/>
      <c r="H2" s="4"/>
      <c r="I2" s="4"/>
      <c r="J2" s="4"/>
      <c r="K2" s="4"/>
      <c r="L2" s="3"/>
    </row>
    <row r="3" spans="1:12">
      <c r="A3" s="9" t="s">
        <v>160</v>
      </c>
      <c r="B3" s="12"/>
      <c r="C3" s="12"/>
      <c r="D3" s="12"/>
      <c r="E3" s="12"/>
      <c r="F3" s="12"/>
      <c r="G3" s="12"/>
      <c r="H3" s="12"/>
      <c r="I3" s="12"/>
      <c r="J3" s="12"/>
      <c r="K3" s="4"/>
      <c r="L3" s="3"/>
    </row>
    <row r="4" spans="1:12" s="11" customFormat="1">
      <c r="A4" s="13"/>
      <c r="B4" s="12"/>
      <c r="C4" s="12"/>
      <c r="D4" s="12"/>
      <c r="E4" s="12"/>
      <c r="F4" s="12"/>
      <c r="G4" s="12"/>
      <c r="H4" s="10"/>
      <c r="I4" s="10"/>
      <c r="J4" s="10"/>
      <c r="K4" s="10"/>
      <c r="L4" s="10"/>
    </row>
    <row r="5" spans="1:12" s="11" customFormat="1">
      <c r="A5" s="13"/>
      <c r="B5" s="33" t="s">
        <v>161</v>
      </c>
      <c r="C5" s="33"/>
      <c r="D5" s="33" t="s">
        <v>162</v>
      </c>
      <c r="E5" s="291" t="s">
        <v>163</v>
      </c>
      <c r="F5" s="291"/>
      <c r="G5" s="291" t="s">
        <v>164</v>
      </c>
      <c r="H5" s="291"/>
      <c r="I5" s="10"/>
      <c r="J5" s="10"/>
      <c r="K5" s="10"/>
      <c r="L5" s="10"/>
    </row>
    <row r="6" spans="1:12" s="11" customFormat="1">
      <c r="A6" s="13"/>
      <c r="B6" s="34" t="s">
        <v>32</v>
      </c>
      <c r="C6" s="34" t="s">
        <v>108</v>
      </c>
      <c r="D6" s="34" t="s">
        <v>165</v>
      </c>
      <c r="E6" s="35" t="s">
        <v>162</v>
      </c>
      <c r="F6" s="35" t="s">
        <v>166</v>
      </c>
      <c r="G6" s="35" t="s">
        <v>162</v>
      </c>
      <c r="H6" s="35" t="s">
        <v>166</v>
      </c>
      <c r="I6" s="10"/>
      <c r="J6" s="10"/>
      <c r="K6" s="10"/>
      <c r="L6" s="10"/>
    </row>
    <row r="7" spans="1:12" s="11" customFormat="1">
      <c r="A7" s="13"/>
      <c r="B7" s="47">
        <v>2018</v>
      </c>
      <c r="C7" s="17">
        <v>575000</v>
      </c>
      <c r="D7" s="17">
        <v>16172450</v>
      </c>
      <c r="E7" s="17">
        <v>176261530</v>
      </c>
      <c r="F7" s="17">
        <v>176998480</v>
      </c>
      <c r="G7" s="17">
        <v>181712920</v>
      </c>
      <c r="H7" s="17">
        <v>179693890</v>
      </c>
      <c r="I7" s="10"/>
      <c r="J7" s="10"/>
      <c r="K7" s="10"/>
      <c r="L7" s="10"/>
    </row>
    <row r="8" spans="1:12" s="11" customFormat="1">
      <c r="A8" s="13"/>
      <c r="B8" s="16">
        <v>2019</v>
      </c>
      <c r="C8" s="17">
        <v>592250</v>
      </c>
      <c r="D8" s="17">
        <v>16807540</v>
      </c>
      <c r="E8" s="17">
        <v>195338130</v>
      </c>
      <c r="F8" s="17">
        <v>194011760</v>
      </c>
      <c r="G8" s="17">
        <v>188100130</v>
      </c>
      <c r="H8" s="17">
        <v>190637250</v>
      </c>
      <c r="I8" s="10"/>
      <c r="J8" s="10"/>
      <c r="K8" s="10"/>
      <c r="L8" s="10"/>
    </row>
    <row r="9" spans="1:12" s="11" customFormat="1">
      <c r="A9" s="12"/>
      <c r="B9" s="16">
        <v>2020</v>
      </c>
      <c r="C9" s="17">
        <v>621860</v>
      </c>
      <c r="D9" s="17">
        <v>17831120</v>
      </c>
      <c r="E9" s="17">
        <v>187853340</v>
      </c>
      <c r="F9" s="17">
        <v>199988960</v>
      </c>
      <c r="G9" s="17">
        <v>195680570</v>
      </c>
      <c r="H9" s="17">
        <v>206174180</v>
      </c>
      <c r="I9" s="10"/>
      <c r="J9" s="10"/>
      <c r="K9" s="10"/>
      <c r="L9" s="10"/>
    </row>
    <row r="10" spans="1:12" s="11" customFormat="1">
      <c r="A10" s="12"/>
      <c r="B10" s="16">
        <v>2021</v>
      </c>
      <c r="C10" s="17">
        <v>652960</v>
      </c>
      <c r="D10" s="17">
        <v>19284360</v>
      </c>
      <c r="E10" s="17">
        <v>197358720</v>
      </c>
      <c r="F10" s="17">
        <v>211828510</v>
      </c>
      <c r="G10" s="17">
        <v>205582000</v>
      </c>
      <c r="H10" s="17">
        <v>222977380</v>
      </c>
      <c r="I10" s="10"/>
      <c r="J10" s="10"/>
      <c r="K10" s="10"/>
      <c r="L10" s="10"/>
    </row>
    <row r="11" spans="1:12" s="11" customFormat="1">
      <c r="A11" s="13"/>
      <c r="B11" s="35" t="s">
        <v>97</v>
      </c>
      <c r="C11" s="38">
        <f>SUM(C7:C10)</f>
        <v>2442070</v>
      </c>
      <c r="D11" s="38">
        <f>SUM(D7:D10)</f>
        <v>70095470</v>
      </c>
      <c r="E11" s="38">
        <f>SUM(E7:E10)</f>
        <v>756811720</v>
      </c>
      <c r="F11" s="38">
        <f>SUM(F7:F10)</f>
        <v>782827710</v>
      </c>
      <c r="G11" s="38">
        <f>SUM(G7:G10)</f>
        <v>771075620</v>
      </c>
      <c r="H11" s="38">
        <v>799482700</v>
      </c>
      <c r="I11" s="10"/>
      <c r="J11" s="10"/>
      <c r="K11" s="10"/>
      <c r="L11" s="10"/>
    </row>
    <row r="12" spans="1:12" s="11" customFormat="1">
      <c r="A12" s="12"/>
      <c r="B12" s="10"/>
      <c r="C12" s="10"/>
      <c r="D12" s="10"/>
      <c r="E12" s="10"/>
      <c r="F12" s="10"/>
      <c r="G12" s="10"/>
      <c r="H12" s="10"/>
      <c r="I12" s="10"/>
      <c r="J12" s="10"/>
      <c r="K12" s="10"/>
      <c r="L12" s="10"/>
    </row>
    <row r="13" spans="1:12" s="11" customFormat="1">
      <c r="A13" s="12"/>
      <c r="B13" s="328"/>
      <c r="C13" s="328"/>
      <c r="D13" s="291" t="s">
        <v>167</v>
      </c>
      <c r="E13" s="291"/>
      <c r="F13" s="10"/>
      <c r="G13" s="10"/>
      <c r="H13" s="10"/>
      <c r="I13" s="10"/>
      <c r="J13" s="10"/>
      <c r="K13" s="10"/>
      <c r="L13" s="10"/>
    </row>
    <row r="14" spans="1:12">
      <c r="A14" s="12"/>
      <c r="B14" s="329" t="s">
        <v>168</v>
      </c>
      <c r="C14" s="329"/>
      <c r="D14" s="309">
        <v>95171300</v>
      </c>
      <c r="E14" s="309"/>
      <c r="F14" s="10"/>
      <c r="G14" s="10"/>
      <c r="H14" s="9"/>
      <c r="I14" s="9"/>
      <c r="J14" s="9"/>
      <c r="K14" s="9"/>
      <c r="L14" s="9"/>
    </row>
    <row r="15" spans="1:12">
      <c r="A15" s="12"/>
      <c r="B15" s="329" t="s">
        <v>169</v>
      </c>
      <c r="C15" s="329"/>
      <c r="D15" s="309">
        <v>43591100</v>
      </c>
      <c r="E15" s="309"/>
      <c r="F15" s="10"/>
      <c r="G15" s="10"/>
      <c r="H15" s="9"/>
      <c r="I15" s="9"/>
      <c r="J15" s="9"/>
      <c r="K15" s="9"/>
      <c r="L15" s="9"/>
    </row>
    <row r="16" spans="1:12">
      <c r="A16" s="9"/>
      <c r="B16" s="329" t="s">
        <v>170</v>
      </c>
      <c r="C16" s="329"/>
      <c r="D16" s="309">
        <v>26803900</v>
      </c>
      <c r="E16" s="309"/>
      <c r="F16" s="9"/>
      <c r="G16" s="9"/>
      <c r="H16" s="9"/>
      <c r="I16" s="9"/>
      <c r="J16" s="9"/>
      <c r="K16" s="9"/>
      <c r="L16" s="9"/>
    </row>
    <row r="17" spans="1:18">
      <c r="A17" s="9"/>
      <c r="B17" s="328" t="s">
        <v>97</v>
      </c>
      <c r="C17" s="328"/>
      <c r="D17" s="311">
        <f>SUM(D14:E16)</f>
        <v>165566300</v>
      </c>
      <c r="E17" s="311"/>
      <c r="F17" s="9"/>
      <c r="G17" s="9"/>
      <c r="H17" s="9"/>
      <c r="I17" s="9"/>
      <c r="J17" s="9"/>
      <c r="K17" s="9"/>
      <c r="L17" s="9"/>
    </row>
    <row r="18" spans="1:18">
      <c r="A18" s="9"/>
      <c r="B18" s="9"/>
      <c r="C18" s="9"/>
      <c r="D18" s="9"/>
      <c r="E18" s="9"/>
      <c r="F18" s="9"/>
      <c r="G18" s="9"/>
      <c r="H18" s="9"/>
      <c r="I18" s="9"/>
      <c r="J18" s="9"/>
      <c r="K18" s="9"/>
      <c r="L18" s="9"/>
    </row>
    <row r="19" spans="1:18">
      <c r="A19" s="9"/>
      <c r="B19" s="32" t="s">
        <v>257</v>
      </c>
      <c r="C19" s="9"/>
      <c r="D19" s="9"/>
      <c r="E19" s="9"/>
      <c r="F19" s="9"/>
      <c r="G19" s="9"/>
      <c r="H19" s="9"/>
      <c r="I19" s="9"/>
      <c r="J19" s="9"/>
      <c r="K19" s="9"/>
      <c r="L19" s="9"/>
    </row>
    <row r="20" spans="1:18">
      <c r="A20" s="9"/>
      <c r="B20" s="32" t="s">
        <v>258</v>
      </c>
      <c r="C20" s="9"/>
      <c r="D20" s="9"/>
      <c r="E20" s="9"/>
      <c r="F20" s="52">
        <v>11000000</v>
      </c>
      <c r="G20" s="9" t="s">
        <v>171</v>
      </c>
      <c r="H20" s="9"/>
      <c r="I20" s="9"/>
      <c r="J20" s="9"/>
      <c r="K20" s="9"/>
      <c r="L20" s="9"/>
    </row>
    <row r="21" spans="1:18">
      <c r="A21" s="9"/>
      <c r="B21" s="64">
        <v>0.3</v>
      </c>
      <c r="C21" s="32" t="s">
        <v>172</v>
      </c>
      <c r="D21" s="9"/>
      <c r="E21" s="9"/>
      <c r="F21" s="9"/>
      <c r="G21" s="48">
        <v>0.7</v>
      </c>
      <c r="H21" s="9" t="s">
        <v>173</v>
      </c>
      <c r="I21" s="9"/>
      <c r="J21" s="9"/>
      <c r="K21" s="9"/>
      <c r="L21" s="9"/>
    </row>
    <row r="22" spans="1:18">
      <c r="A22" s="9"/>
      <c r="B22" s="9"/>
      <c r="C22" s="9"/>
      <c r="D22" s="9"/>
      <c r="E22" s="9"/>
      <c r="F22" s="9"/>
      <c r="G22" s="9"/>
      <c r="H22" s="9"/>
      <c r="I22" s="9"/>
      <c r="J22" s="9"/>
      <c r="K22" s="9"/>
      <c r="L22" s="9"/>
    </row>
    <row r="24" spans="1:18">
      <c r="A24" s="6" t="s">
        <v>4</v>
      </c>
      <c r="B24" s="293" t="s">
        <v>174</v>
      </c>
      <c r="C24" s="293"/>
      <c r="D24" s="293"/>
      <c r="E24" s="293"/>
      <c r="F24" s="293"/>
      <c r="G24" s="293"/>
      <c r="H24" s="293"/>
      <c r="I24" s="293"/>
      <c r="J24" s="293"/>
      <c r="K24" s="293"/>
      <c r="L24" s="4"/>
      <c r="M24" s="8"/>
      <c r="N24" s="8"/>
      <c r="O24" s="8"/>
      <c r="P24" s="8"/>
      <c r="Q24" s="8"/>
      <c r="R24" s="8"/>
    </row>
    <row r="25" spans="1:18">
      <c r="A25" s="6"/>
      <c r="B25" s="293"/>
      <c r="C25" s="293"/>
      <c r="D25" s="293"/>
      <c r="E25" s="293"/>
      <c r="F25" s="293"/>
      <c r="G25" s="293"/>
      <c r="H25" s="293"/>
      <c r="I25" s="293"/>
      <c r="J25" s="293"/>
      <c r="K25" s="293"/>
      <c r="L25" s="4"/>
      <c r="M25" s="8"/>
      <c r="N25" s="8"/>
      <c r="O25" s="8"/>
      <c r="P25" s="8"/>
      <c r="Q25" s="8"/>
      <c r="R25" s="8"/>
    </row>
    <row r="26" spans="1:18">
      <c r="A26" s="3"/>
      <c r="B26" s="3"/>
      <c r="C26" s="3"/>
      <c r="D26" s="3"/>
      <c r="E26" s="3"/>
      <c r="F26" s="3"/>
      <c r="G26" s="4"/>
      <c r="H26" s="4"/>
      <c r="I26" s="4"/>
      <c r="J26" s="4"/>
      <c r="K26" s="4"/>
      <c r="L26" s="4"/>
    </row>
    <row r="27" spans="1:18">
      <c r="A27" s="7"/>
      <c r="B27" s="7"/>
      <c r="C27" s="7"/>
      <c r="D27" s="7"/>
      <c r="E27" s="7"/>
      <c r="F27" s="7"/>
      <c r="G27" s="7"/>
      <c r="H27" s="7"/>
      <c r="I27" s="7"/>
      <c r="J27" s="7"/>
      <c r="K27" s="7"/>
      <c r="L27" s="7"/>
      <c r="M27" s="7"/>
    </row>
    <row r="28" spans="1:18">
      <c r="A28" s="7" t="s">
        <v>1</v>
      </c>
      <c r="B28" s="7"/>
      <c r="C28" s="7"/>
      <c r="D28" s="7"/>
      <c r="E28" s="7"/>
      <c r="F28" s="7"/>
      <c r="G28" s="7"/>
      <c r="H28" s="7"/>
      <c r="I28" s="7"/>
      <c r="J28" s="7"/>
      <c r="K28" s="7"/>
      <c r="L28" s="7"/>
      <c r="M28" s="7"/>
      <c r="N28" s="8"/>
    </row>
    <row r="29" spans="1:18" ht="46.8">
      <c r="A29" s="7"/>
      <c r="B29" s="127" t="s">
        <v>14</v>
      </c>
      <c r="C29" s="127" t="s">
        <v>440</v>
      </c>
      <c r="D29" s="127" t="s">
        <v>441</v>
      </c>
      <c r="E29" s="127" t="s">
        <v>442</v>
      </c>
      <c r="F29" s="93"/>
      <c r="G29" s="7"/>
      <c r="H29" s="7"/>
      <c r="I29" s="7"/>
      <c r="J29" s="7"/>
      <c r="K29" s="7"/>
      <c r="L29" s="7"/>
      <c r="M29" s="7"/>
      <c r="N29" s="8"/>
    </row>
    <row r="30" spans="1:18">
      <c r="A30" s="7"/>
      <c r="B30" s="132">
        <f>B31-1</f>
        <v>2018</v>
      </c>
      <c r="C30" s="230">
        <f>D7</f>
        <v>16172450</v>
      </c>
      <c r="D30" s="230">
        <f>E7</f>
        <v>176261530</v>
      </c>
      <c r="E30" s="174">
        <f>C30/D30</f>
        <v>9.1752579249709226E-2</v>
      </c>
      <c r="F30" s="93"/>
      <c r="G30" s="7"/>
      <c r="H30" s="7"/>
      <c r="I30" s="7"/>
      <c r="J30" s="7"/>
      <c r="K30" s="7"/>
      <c r="L30" s="7"/>
      <c r="M30" s="7"/>
      <c r="N30" s="8"/>
    </row>
    <row r="31" spans="1:18">
      <c r="B31" s="132">
        <f>B32-1</f>
        <v>2019</v>
      </c>
      <c r="C31" s="230">
        <f>D8</f>
        <v>16807540</v>
      </c>
      <c r="D31" s="230">
        <f>E8-F20</f>
        <v>184338130</v>
      </c>
      <c r="E31" s="174">
        <f t="shared" ref="E31:E33" si="0">C31/D31</f>
        <v>9.1177772064846271E-2</v>
      </c>
      <c r="F31" s="93"/>
      <c r="M31" s="8"/>
      <c r="N31" s="8"/>
    </row>
    <row r="32" spans="1:18">
      <c r="B32" s="132">
        <f>B33-1</f>
        <v>2020</v>
      </c>
      <c r="C32" s="230">
        <f>D9</f>
        <v>17831120</v>
      </c>
      <c r="D32" s="230">
        <f>E9</f>
        <v>187853340</v>
      </c>
      <c r="E32" s="174">
        <f t="shared" si="0"/>
        <v>9.492043101283161E-2</v>
      </c>
      <c r="F32" s="93"/>
      <c r="M32" s="8"/>
      <c r="N32" s="8"/>
    </row>
    <row r="33" spans="1:14">
      <c r="B33" s="128">
        <v>2021</v>
      </c>
      <c r="C33" s="231">
        <f>D10</f>
        <v>19284360</v>
      </c>
      <c r="D33" s="231">
        <f>E10</f>
        <v>197358720</v>
      </c>
      <c r="E33" s="193">
        <f t="shared" si="0"/>
        <v>9.7712226751369285E-2</v>
      </c>
      <c r="F33" s="93"/>
      <c r="M33" s="8"/>
      <c r="N33" s="8"/>
    </row>
    <row r="34" spans="1:14">
      <c r="B34" s="132" t="s">
        <v>97</v>
      </c>
      <c r="C34" s="230">
        <f>SUM(C30:C33)</f>
        <v>70095470</v>
      </c>
      <c r="D34" s="230">
        <f>SUM(D30:D33)</f>
        <v>745811720</v>
      </c>
      <c r="E34" s="175">
        <f>AVERAGE(E30:E33)</f>
        <v>9.3890752269689098E-2</v>
      </c>
      <c r="F34" s="93"/>
      <c r="M34" s="8"/>
      <c r="N34" s="8"/>
    </row>
    <row r="35" spans="1:14">
      <c r="M35" s="8"/>
      <c r="N35" s="8"/>
    </row>
    <row r="36" spans="1:14">
      <c r="B36" s="1" t="s">
        <v>443</v>
      </c>
      <c r="D36" s="232">
        <f>(E34*$D$16)+(E34*(1-$B$21)*($D$14+$D$15))</f>
        <v>11636592.620684773</v>
      </c>
      <c r="M36" s="8"/>
      <c r="N36" s="8"/>
    </row>
    <row r="38" spans="1:14">
      <c r="A38" s="6" t="s">
        <v>5</v>
      </c>
      <c r="B38" s="293" t="s">
        <v>175</v>
      </c>
      <c r="C38" s="293"/>
      <c r="D38" s="293"/>
      <c r="E38" s="293"/>
      <c r="F38" s="293"/>
      <c r="G38" s="293"/>
      <c r="H38" s="293"/>
      <c r="I38" s="293"/>
      <c r="J38" s="293"/>
      <c r="K38" s="293"/>
      <c r="L38" s="4"/>
    </row>
    <row r="39" spans="1:14">
      <c r="A39" s="6"/>
      <c r="B39" s="293"/>
      <c r="C39" s="293"/>
      <c r="D39" s="293"/>
      <c r="E39" s="293"/>
      <c r="F39" s="293"/>
      <c r="G39" s="293"/>
      <c r="H39" s="293"/>
      <c r="I39" s="293"/>
      <c r="J39" s="293"/>
      <c r="K39" s="293"/>
      <c r="L39" s="4"/>
    </row>
    <row r="40" spans="1:14">
      <c r="A40" s="3"/>
      <c r="B40" s="3"/>
      <c r="C40" s="3"/>
      <c r="D40" s="3"/>
      <c r="E40" s="3"/>
      <c r="F40" s="3"/>
      <c r="G40" s="4"/>
      <c r="H40" s="4"/>
      <c r="I40" s="4"/>
      <c r="J40" s="4"/>
      <c r="K40" s="4"/>
      <c r="L40" s="4"/>
    </row>
    <row r="41" spans="1:14">
      <c r="A41" s="7"/>
      <c r="B41" s="7"/>
      <c r="C41" s="7"/>
      <c r="D41" s="7"/>
      <c r="E41" s="7"/>
      <c r="F41" s="7"/>
      <c r="G41" s="7"/>
      <c r="H41" s="7"/>
      <c r="I41" s="7"/>
      <c r="J41" s="7"/>
      <c r="K41" s="7"/>
      <c r="L41" s="7"/>
    </row>
    <row r="42" spans="1:14">
      <c r="A42" s="7" t="s">
        <v>1</v>
      </c>
      <c r="B42" s="7"/>
      <c r="C42" s="7"/>
      <c r="D42" s="7"/>
      <c r="E42" s="7"/>
      <c r="F42" s="7"/>
      <c r="G42" s="7"/>
      <c r="H42" s="7"/>
      <c r="I42" s="7"/>
      <c r="J42" s="7"/>
      <c r="K42" s="7"/>
      <c r="L42" s="7"/>
    </row>
    <row r="43" spans="1:14" ht="46.8">
      <c r="A43" s="7"/>
      <c r="B43" s="127" t="s">
        <v>14</v>
      </c>
      <c r="C43" s="127" t="s">
        <v>440</v>
      </c>
      <c r="D43" s="127" t="s">
        <v>444</v>
      </c>
      <c r="E43" s="127" t="s">
        <v>445</v>
      </c>
      <c r="F43" s="127" t="s">
        <v>446</v>
      </c>
      <c r="G43" s="93"/>
      <c r="H43" s="7"/>
      <c r="I43" s="7"/>
      <c r="J43" s="7"/>
      <c r="K43" s="7"/>
      <c r="L43" s="7"/>
    </row>
    <row r="44" spans="1:14">
      <c r="B44" s="132">
        <f>B45-1</f>
        <v>2018</v>
      </c>
      <c r="C44" s="230">
        <f>D7</f>
        <v>16172450</v>
      </c>
      <c r="D44" s="230">
        <f t="shared" ref="D44:E47" si="1">G7</f>
        <v>181712920</v>
      </c>
      <c r="E44" s="230">
        <f t="shared" si="1"/>
        <v>179693890</v>
      </c>
      <c r="F44" s="174">
        <f>C44/AVERAGE(D44:E44)</f>
        <v>8.9497206762650661E-2</v>
      </c>
      <c r="G44" s="93"/>
      <c r="M44" s="7"/>
    </row>
    <row r="45" spans="1:14">
      <c r="B45" s="132">
        <f>B46-1</f>
        <v>2019</v>
      </c>
      <c r="C45" s="230">
        <f>D8</f>
        <v>16807540</v>
      </c>
      <c r="D45" s="230">
        <f t="shared" si="1"/>
        <v>188100130</v>
      </c>
      <c r="E45" s="230">
        <f t="shared" si="1"/>
        <v>190637250</v>
      </c>
      <c r="F45" s="174">
        <f t="shared" ref="F45:F47" si="2">C45/AVERAGE(D45:E45)</f>
        <v>8.8755643818415816E-2</v>
      </c>
      <c r="G45" s="161"/>
      <c r="M45" s="7"/>
    </row>
    <row r="46" spans="1:14">
      <c r="B46" s="132">
        <f>B47-1</f>
        <v>2020</v>
      </c>
      <c r="C46" s="230">
        <f>D9</f>
        <v>17831120</v>
      </c>
      <c r="D46" s="230">
        <f t="shared" si="1"/>
        <v>195680570</v>
      </c>
      <c r="E46" s="230">
        <f t="shared" si="1"/>
        <v>206174180</v>
      </c>
      <c r="F46" s="174">
        <f t="shared" si="2"/>
        <v>8.8744104679613717E-2</v>
      </c>
      <c r="G46" s="161"/>
      <c r="M46" s="7"/>
    </row>
    <row r="47" spans="1:14">
      <c r="B47" s="128">
        <v>2021</v>
      </c>
      <c r="C47" s="231">
        <f>D10</f>
        <v>19284360</v>
      </c>
      <c r="D47" s="231">
        <f t="shared" si="1"/>
        <v>205582000</v>
      </c>
      <c r="E47" s="231">
        <f t="shared" si="1"/>
        <v>222977380</v>
      </c>
      <c r="F47" s="193">
        <f t="shared" si="2"/>
        <v>8.99962100934531E-2</v>
      </c>
      <c r="G47" s="161"/>
    </row>
    <row r="48" spans="1:14">
      <c r="B48" s="132" t="s">
        <v>97</v>
      </c>
      <c r="C48" s="230">
        <f>SUM(C44:C47)</f>
        <v>70095470</v>
      </c>
      <c r="D48" s="230">
        <f>SUM(D44:D47)</f>
        <v>771075620</v>
      </c>
      <c r="E48" s="230">
        <f>SUM(E44:E47)</f>
        <v>799482700</v>
      </c>
      <c r="F48" s="175">
        <f>AVERAGE(F44:F47)</f>
        <v>8.9248291338533334E-2</v>
      </c>
      <c r="G48" s="161"/>
    </row>
    <row r="49" spans="1:14">
      <c r="B49" s="93"/>
      <c r="C49" s="93"/>
      <c r="D49" s="93"/>
      <c r="E49" s="93"/>
      <c r="F49" s="93"/>
      <c r="G49" s="93"/>
    </row>
    <row r="50" spans="1:14">
      <c r="B50" s="1" t="s">
        <v>443</v>
      </c>
      <c r="C50" s="93"/>
      <c r="D50" s="232">
        <f>(F48*$D$16)+(F48*(1-$B$21)*($D$14+$D$15))</f>
        <v>11061217.247632781</v>
      </c>
      <c r="E50" s="93"/>
      <c r="F50" s="93"/>
      <c r="G50" s="93"/>
    </row>
    <row r="52" spans="1:14">
      <c r="A52" s="6" t="s">
        <v>0</v>
      </c>
      <c r="B52" s="9" t="s">
        <v>176</v>
      </c>
      <c r="C52" s="4"/>
      <c r="D52" s="4"/>
      <c r="E52" s="4"/>
      <c r="F52" s="4"/>
      <c r="G52" s="4"/>
      <c r="H52" s="4"/>
      <c r="I52" s="4"/>
      <c r="J52" s="4"/>
      <c r="K52" s="4"/>
      <c r="L52" s="4"/>
    </row>
    <row r="53" spans="1:14">
      <c r="A53" s="3"/>
      <c r="B53" s="3"/>
      <c r="C53" s="3"/>
      <c r="D53" s="3"/>
      <c r="E53" s="3"/>
      <c r="F53" s="3"/>
      <c r="G53" s="4"/>
      <c r="H53" s="4"/>
      <c r="I53" s="4"/>
      <c r="J53" s="4"/>
      <c r="K53" s="4"/>
      <c r="L53" s="4"/>
    </row>
    <row r="54" spans="1:14">
      <c r="A54" s="7"/>
      <c r="B54" s="7"/>
      <c r="C54" s="7"/>
      <c r="D54" s="7"/>
      <c r="E54" s="7"/>
      <c r="F54" s="7"/>
      <c r="G54" s="7"/>
      <c r="H54" s="7"/>
      <c r="I54" s="7"/>
      <c r="J54" s="7"/>
      <c r="K54" s="7"/>
      <c r="L54" s="7"/>
    </row>
    <row r="55" spans="1:14">
      <c r="A55" s="7" t="s">
        <v>1</v>
      </c>
      <c r="B55" s="7"/>
      <c r="C55" s="7"/>
      <c r="D55" s="7"/>
      <c r="E55" s="7"/>
      <c r="F55" s="7"/>
      <c r="G55" s="7"/>
      <c r="H55" s="7"/>
      <c r="I55" s="7"/>
      <c r="J55" s="7"/>
      <c r="K55" s="7"/>
      <c r="L55" s="7"/>
    </row>
    <row r="56" spans="1:14">
      <c r="A56" s="7"/>
      <c r="B56" s="7" t="s">
        <v>447</v>
      </c>
      <c r="C56" s="7"/>
      <c r="D56" s="7"/>
      <c r="E56" s="7"/>
      <c r="F56" s="7"/>
      <c r="G56" s="7"/>
      <c r="H56" s="7"/>
      <c r="I56" s="7"/>
      <c r="J56" s="7"/>
      <c r="K56" s="7"/>
      <c r="L56" s="7"/>
    </row>
    <row r="57" spans="1:14">
      <c r="A57" s="7"/>
      <c r="B57" s="7"/>
      <c r="C57" s="7"/>
      <c r="D57" s="7"/>
      <c r="E57" s="7"/>
      <c r="F57" s="7"/>
      <c r="G57" s="7"/>
      <c r="H57" s="7"/>
      <c r="I57" s="7"/>
      <c r="J57" s="7"/>
      <c r="K57" s="7"/>
      <c r="L57" s="7"/>
    </row>
    <row r="58" spans="1:14">
      <c r="B58" s="1" t="s">
        <v>448</v>
      </c>
    </row>
    <row r="60" spans="1:14">
      <c r="B60" s="1" t="s">
        <v>449</v>
      </c>
      <c r="M60" s="7"/>
      <c r="N60" s="7"/>
    </row>
    <row r="61" spans="1:14">
      <c r="M61" s="7"/>
      <c r="N61" s="7"/>
    </row>
  </sheetData>
  <mergeCells count="14">
    <mergeCell ref="D15:E15"/>
    <mergeCell ref="D16:E16"/>
    <mergeCell ref="D17:E17"/>
    <mergeCell ref="B24:K25"/>
    <mergeCell ref="B38:K39"/>
    <mergeCell ref="B15:C15"/>
    <mergeCell ref="B16:C16"/>
    <mergeCell ref="B17:C17"/>
    <mergeCell ref="E5:F5"/>
    <mergeCell ref="G5:H5"/>
    <mergeCell ref="B13:C13"/>
    <mergeCell ref="B14:C14"/>
    <mergeCell ref="D13:E13"/>
    <mergeCell ref="D14:E14"/>
  </mergeCells>
  <pageMargins left="0.7" right="0.7" top="0.75" bottom="0.75" header="0.3" footer="0.3"/>
  <pageSetup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EE56D-699E-4274-A558-BD67BD2815F1}">
  <dimension ref="A1:L4"/>
  <sheetViews>
    <sheetView zoomScaleNormal="100" workbookViewId="0"/>
  </sheetViews>
  <sheetFormatPr defaultColWidth="8.88671875" defaultRowHeight="15.6"/>
  <cols>
    <col min="1" max="6" width="8.88671875" style="1" customWidth="1"/>
    <col min="7" max="7" width="8.88671875" style="1"/>
    <col min="8" max="8" width="8.88671875" style="1" customWidth="1"/>
    <col min="9" max="16384" width="8.88671875" style="1"/>
  </cols>
  <sheetData>
    <row r="1" spans="1:12" ht="17.399999999999999">
      <c r="A1" s="2" t="s">
        <v>177</v>
      </c>
      <c r="B1" s="4"/>
      <c r="C1" s="9" t="s">
        <v>9</v>
      </c>
      <c r="D1" s="4"/>
      <c r="E1" s="4"/>
      <c r="F1" s="4"/>
      <c r="G1" s="4"/>
      <c r="H1" s="4"/>
      <c r="I1" s="4"/>
      <c r="J1" s="4"/>
      <c r="K1" s="4"/>
      <c r="L1" s="3"/>
    </row>
    <row r="2" spans="1:12">
      <c r="A2" s="4"/>
      <c r="B2" s="4"/>
      <c r="C2" s="4"/>
      <c r="D2" s="4"/>
      <c r="E2" s="4"/>
      <c r="F2" s="4"/>
      <c r="G2" s="4"/>
      <c r="H2" s="4"/>
      <c r="I2" s="4"/>
      <c r="J2" s="4"/>
      <c r="K2" s="4"/>
      <c r="L2" s="3"/>
    </row>
    <row r="3" spans="1:12" ht="16.2">
      <c r="A3" s="14" t="s">
        <v>178</v>
      </c>
      <c r="B3" s="4"/>
      <c r="C3" s="4"/>
      <c r="D3" s="4"/>
      <c r="E3" s="4"/>
      <c r="F3" s="4"/>
      <c r="G3" s="4"/>
      <c r="H3" s="9"/>
      <c r="I3" s="9"/>
      <c r="J3" s="9"/>
      <c r="K3" s="9"/>
      <c r="L3" s="9"/>
    </row>
    <row r="4" spans="1:12">
      <c r="A4" s="4"/>
      <c r="B4" s="4"/>
      <c r="C4" s="4"/>
      <c r="D4" s="4"/>
      <c r="E4" s="4"/>
      <c r="F4" s="4"/>
      <c r="G4" s="4"/>
      <c r="H4" s="9"/>
      <c r="I4" s="9"/>
      <c r="J4" s="9"/>
      <c r="K4" s="9"/>
      <c r="L4" s="9"/>
    </row>
  </sheetData>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F3CD8-3078-4F9C-B0ED-942CFDD1E31D}">
  <dimension ref="A1:T93"/>
  <sheetViews>
    <sheetView zoomScaleNormal="100" workbookViewId="0"/>
  </sheetViews>
  <sheetFormatPr defaultColWidth="8.88671875" defaultRowHeight="15.6"/>
  <cols>
    <col min="1" max="1" width="14.33203125" style="1" customWidth="1"/>
    <col min="2" max="2" width="13.6640625" style="1" customWidth="1"/>
    <col min="3" max="3" width="16.21875" style="1" customWidth="1"/>
    <col min="4" max="5" width="14.77734375" style="1" customWidth="1"/>
    <col min="6" max="8" width="12.77734375" style="1" customWidth="1"/>
    <col min="9" max="9" width="11.5546875" style="1" bestFit="1" customWidth="1"/>
    <col min="10" max="13" width="8.88671875" style="1"/>
    <col min="14" max="14" width="8.88671875" style="1" customWidth="1"/>
    <col min="15" max="16384" width="8.88671875" style="1"/>
  </cols>
  <sheetData>
    <row r="1" spans="1:12" ht="17.399999999999999">
      <c r="A1" s="2" t="s">
        <v>179</v>
      </c>
      <c r="B1" s="4"/>
      <c r="C1" s="9" t="s">
        <v>11</v>
      </c>
      <c r="D1" s="4"/>
      <c r="E1" s="4"/>
      <c r="F1" s="4"/>
      <c r="G1" s="4"/>
      <c r="H1" s="4"/>
      <c r="I1" s="4"/>
      <c r="J1" s="4"/>
      <c r="K1" s="4"/>
      <c r="L1" s="3"/>
    </row>
    <row r="2" spans="1:12">
      <c r="A2" s="4"/>
      <c r="B2" s="4"/>
      <c r="C2" s="4"/>
      <c r="D2" s="4"/>
      <c r="E2" s="4"/>
      <c r="F2" s="4"/>
      <c r="G2" s="4"/>
      <c r="H2" s="4"/>
      <c r="I2" s="4"/>
      <c r="J2" s="4"/>
      <c r="K2" s="4"/>
      <c r="L2" s="3"/>
    </row>
    <row r="3" spans="1:12">
      <c r="A3" s="9" t="s">
        <v>180</v>
      </c>
      <c r="B3" s="12"/>
      <c r="C3" s="12"/>
      <c r="D3" s="12"/>
      <c r="E3" s="12"/>
      <c r="F3" s="12"/>
      <c r="G3" s="12"/>
      <c r="H3" s="12"/>
      <c r="I3" s="12"/>
      <c r="J3" s="12"/>
      <c r="K3" s="4"/>
      <c r="L3" s="3"/>
    </row>
    <row r="4" spans="1:12" s="11" customFormat="1">
      <c r="A4" s="13"/>
      <c r="B4" s="12"/>
      <c r="C4" s="12"/>
      <c r="D4" s="12"/>
      <c r="E4" s="12"/>
      <c r="F4" s="12"/>
      <c r="G4" s="12"/>
      <c r="H4" s="10"/>
      <c r="I4" s="10"/>
      <c r="J4" s="10"/>
      <c r="K4" s="10"/>
      <c r="L4" s="10"/>
    </row>
    <row r="5" spans="1:12" s="11" customFormat="1">
      <c r="A5" s="13"/>
      <c r="B5" s="12"/>
      <c r="C5" s="12"/>
      <c r="D5" s="12"/>
      <c r="E5" s="12"/>
      <c r="F5" s="12"/>
      <c r="G5" s="12"/>
      <c r="H5" s="10"/>
      <c r="I5" s="10"/>
      <c r="J5" s="10"/>
      <c r="K5" s="10"/>
      <c r="L5" s="10"/>
    </row>
    <row r="6" spans="1:12" s="11" customFormat="1">
      <c r="A6" s="13"/>
      <c r="B6" s="12"/>
      <c r="C6" s="12"/>
      <c r="D6" s="12"/>
      <c r="E6" s="12"/>
      <c r="F6" s="12"/>
      <c r="G6" s="12"/>
      <c r="H6" s="10"/>
      <c r="I6" s="10"/>
      <c r="J6" s="10"/>
      <c r="K6" s="10"/>
      <c r="L6" s="10"/>
    </row>
    <row r="7" spans="1:12" s="11" customFormat="1" ht="62.4">
      <c r="A7" s="13"/>
      <c r="B7" s="18" t="s">
        <v>181</v>
      </c>
      <c r="C7" s="18" t="s">
        <v>182</v>
      </c>
      <c r="D7" s="18" t="s">
        <v>16</v>
      </c>
      <c r="E7" s="65" t="s">
        <v>270</v>
      </c>
      <c r="F7" s="12"/>
      <c r="G7" s="12"/>
      <c r="H7" s="10"/>
      <c r="I7" s="10"/>
      <c r="J7" s="10"/>
      <c r="K7" s="10"/>
      <c r="L7" s="10"/>
    </row>
    <row r="8" spans="1:12" s="11" customFormat="1">
      <c r="A8" s="13"/>
      <c r="B8" s="68" t="s">
        <v>195</v>
      </c>
      <c r="C8" s="22">
        <v>523613</v>
      </c>
      <c r="D8" s="22">
        <v>518804</v>
      </c>
      <c r="E8" s="22">
        <v>364784</v>
      </c>
      <c r="F8" s="12"/>
      <c r="G8" s="12"/>
      <c r="H8" s="10"/>
      <c r="I8" s="10"/>
      <c r="J8" s="10"/>
      <c r="K8" s="10"/>
      <c r="L8" s="10"/>
    </row>
    <row r="9" spans="1:12" s="11" customFormat="1">
      <c r="A9" s="13"/>
      <c r="B9" s="68" t="s">
        <v>196</v>
      </c>
      <c r="C9" s="22">
        <v>517408</v>
      </c>
      <c r="D9" s="22">
        <v>520827</v>
      </c>
      <c r="E9" s="22">
        <v>232393</v>
      </c>
      <c r="F9" s="12"/>
      <c r="G9" s="12"/>
      <c r="H9" s="10"/>
      <c r="I9" s="10"/>
      <c r="J9" s="10"/>
      <c r="K9" s="10"/>
      <c r="L9" s="10"/>
    </row>
    <row r="10" spans="1:12" s="11" customFormat="1">
      <c r="A10" s="12"/>
      <c r="B10" s="68" t="s">
        <v>197</v>
      </c>
      <c r="C10" s="22">
        <v>500255</v>
      </c>
      <c r="D10" s="22">
        <v>514671</v>
      </c>
      <c r="E10" s="22">
        <v>365518</v>
      </c>
      <c r="F10" s="12"/>
      <c r="G10" s="12"/>
      <c r="H10" s="10"/>
      <c r="I10" s="10"/>
      <c r="J10" s="10"/>
      <c r="K10" s="10"/>
      <c r="L10" s="10"/>
    </row>
    <row r="11" spans="1:12" s="11" customFormat="1">
      <c r="A11" s="12"/>
      <c r="B11" s="68" t="s">
        <v>198</v>
      </c>
      <c r="C11" s="22">
        <v>518366</v>
      </c>
      <c r="D11" s="22">
        <v>509071</v>
      </c>
      <c r="E11" s="22">
        <v>229396</v>
      </c>
      <c r="F11" s="12"/>
      <c r="G11" s="12"/>
      <c r="H11" s="10"/>
      <c r="I11" s="10"/>
      <c r="J11" s="10"/>
      <c r="K11" s="10"/>
      <c r="L11" s="10"/>
    </row>
    <row r="12" spans="1:12" s="11" customFormat="1">
      <c r="A12" s="13"/>
      <c r="B12" s="68" t="s">
        <v>199</v>
      </c>
      <c r="C12" s="22">
        <v>506720</v>
      </c>
      <c r="D12" s="22">
        <v>510927</v>
      </c>
      <c r="E12" s="22">
        <v>366542</v>
      </c>
      <c r="F12" s="12"/>
      <c r="G12" s="12"/>
      <c r="H12" s="10"/>
      <c r="I12" s="10"/>
      <c r="J12" s="10"/>
      <c r="K12" s="10"/>
      <c r="L12" s="10"/>
    </row>
    <row r="13" spans="1:12" s="11" customFormat="1">
      <c r="A13" s="12"/>
      <c r="B13" s="68" t="s">
        <v>200</v>
      </c>
      <c r="C13" s="22">
        <v>518714</v>
      </c>
      <c r="D13" s="22">
        <v>512630</v>
      </c>
      <c r="E13" s="22">
        <v>233315</v>
      </c>
      <c r="F13" s="12"/>
      <c r="G13" s="12"/>
      <c r="H13" s="10"/>
      <c r="I13" s="10"/>
      <c r="J13" s="10"/>
      <c r="K13" s="10"/>
      <c r="L13" s="10"/>
    </row>
    <row r="14" spans="1:12" s="11" customFormat="1">
      <c r="A14" s="12"/>
      <c r="B14" s="12"/>
      <c r="C14" s="12"/>
      <c r="D14" s="12"/>
      <c r="E14" s="12"/>
      <c r="F14" s="12"/>
      <c r="G14" s="12"/>
      <c r="H14" s="10"/>
      <c r="I14" s="10"/>
      <c r="J14" s="10"/>
      <c r="K14" s="10"/>
      <c r="L14" s="10"/>
    </row>
    <row r="15" spans="1:12">
      <c r="A15" s="12"/>
      <c r="B15" s="32" t="s">
        <v>259</v>
      </c>
      <c r="C15" s="12"/>
      <c r="D15" s="12"/>
      <c r="E15" s="12"/>
      <c r="F15" s="12"/>
      <c r="G15" s="12"/>
      <c r="H15" s="9"/>
      <c r="I15" s="9"/>
      <c r="J15" s="9"/>
      <c r="K15" s="9"/>
      <c r="L15" s="9"/>
    </row>
    <row r="16" spans="1:12" ht="15.6" customHeight="1">
      <c r="A16" s="12"/>
      <c r="B16" s="32" t="s">
        <v>260</v>
      </c>
      <c r="C16" s="32"/>
      <c r="D16" s="32"/>
      <c r="E16" s="32"/>
      <c r="F16" s="32"/>
      <c r="G16" s="32"/>
      <c r="H16" s="32"/>
      <c r="I16" s="32"/>
      <c r="J16" s="32"/>
      <c r="K16" s="32"/>
      <c r="L16" s="32"/>
    </row>
    <row r="17" spans="1:18">
      <c r="A17" s="9"/>
      <c r="B17" s="32" t="s">
        <v>261</v>
      </c>
      <c r="C17" s="9"/>
      <c r="D17" s="9"/>
      <c r="E17" s="9"/>
      <c r="F17" s="9"/>
      <c r="G17" s="9"/>
      <c r="H17" s="9"/>
      <c r="I17" s="9"/>
      <c r="J17" s="9"/>
      <c r="K17" s="9"/>
      <c r="L17" s="9"/>
    </row>
    <row r="18" spans="1:18">
      <c r="A18" s="9"/>
      <c r="B18" s="32" t="s">
        <v>262</v>
      </c>
      <c r="C18" s="9"/>
      <c r="D18" s="9"/>
      <c r="E18" s="9"/>
      <c r="F18" s="9"/>
      <c r="G18" s="9"/>
      <c r="H18" s="9"/>
      <c r="I18" s="9"/>
      <c r="J18" s="9"/>
      <c r="K18" s="9"/>
      <c r="L18" s="9"/>
    </row>
    <row r="19" spans="1:18">
      <c r="A19" s="9"/>
      <c r="B19" s="32" t="s">
        <v>263</v>
      </c>
      <c r="C19" s="9"/>
      <c r="D19" s="9"/>
      <c r="E19" s="9"/>
      <c r="F19" s="9"/>
      <c r="G19" s="9"/>
      <c r="H19" s="9"/>
      <c r="I19" s="9"/>
      <c r="J19" s="9"/>
      <c r="K19" s="9"/>
      <c r="L19" s="9"/>
    </row>
    <row r="20" spans="1:18">
      <c r="A20" s="9"/>
      <c r="B20" s="32" t="s">
        <v>264</v>
      </c>
      <c r="C20" s="66">
        <v>5.7000000000000002E-2</v>
      </c>
      <c r="D20" s="9" t="s">
        <v>183</v>
      </c>
      <c r="E20" s="9"/>
      <c r="F20" s="9"/>
      <c r="G20" s="9"/>
      <c r="H20" s="9"/>
      <c r="I20" s="9"/>
      <c r="J20" s="9"/>
      <c r="K20" s="9"/>
      <c r="L20" s="9"/>
    </row>
    <row r="21" spans="1:18">
      <c r="A21" s="9"/>
      <c r="B21" s="32" t="s">
        <v>265</v>
      </c>
      <c r="C21" s="9"/>
      <c r="D21" s="9"/>
      <c r="E21" s="48">
        <v>0.18</v>
      </c>
      <c r="F21" s="9" t="s">
        <v>184</v>
      </c>
      <c r="G21" s="9"/>
      <c r="H21" s="9"/>
      <c r="I21" s="9"/>
      <c r="J21" s="9"/>
      <c r="K21" s="9"/>
      <c r="L21" s="9"/>
    </row>
    <row r="22" spans="1:18">
      <c r="A22" s="9"/>
      <c r="B22" s="32" t="s">
        <v>266</v>
      </c>
      <c r="C22" s="9"/>
      <c r="D22" s="9"/>
      <c r="E22" s="9"/>
      <c r="F22" s="9"/>
      <c r="G22" s="48">
        <v>0.3</v>
      </c>
      <c r="H22" s="9"/>
      <c r="I22" s="9"/>
      <c r="J22" s="9"/>
      <c r="K22" s="9"/>
      <c r="L22" s="9"/>
    </row>
    <row r="23" spans="1:18">
      <c r="A23" s="9"/>
      <c r="B23" s="32" t="s">
        <v>267</v>
      </c>
      <c r="C23" s="9"/>
      <c r="D23" s="48">
        <v>0.01</v>
      </c>
      <c r="E23" s="9"/>
      <c r="F23" s="9"/>
      <c r="G23" s="9"/>
      <c r="H23" s="9"/>
      <c r="I23" s="9"/>
      <c r="J23" s="9"/>
      <c r="K23" s="9"/>
      <c r="L23" s="9"/>
    </row>
    <row r="24" spans="1:18">
      <c r="A24" s="9"/>
      <c r="B24" s="32" t="s">
        <v>268</v>
      </c>
      <c r="C24" s="9"/>
      <c r="D24" s="9"/>
      <c r="E24" s="9"/>
      <c r="F24" s="9"/>
      <c r="G24" s="9"/>
      <c r="H24" s="9"/>
      <c r="I24" s="9"/>
      <c r="J24" s="9"/>
      <c r="K24" s="9"/>
      <c r="L24" s="9"/>
    </row>
    <row r="25" spans="1:18">
      <c r="A25" s="9"/>
      <c r="B25" s="32" t="s">
        <v>269</v>
      </c>
      <c r="C25" s="9"/>
      <c r="D25" s="9"/>
      <c r="E25" s="51">
        <v>515716</v>
      </c>
      <c r="F25" s="9" t="s">
        <v>185</v>
      </c>
      <c r="G25" s="9"/>
      <c r="H25" s="9"/>
      <c r="I25" s="9"/>
      <c r="J25" s="9"/>
      <c r="K25" s="9"/>
      <c r="L25" s="9"/>
    </row>
    <row r="26" spans="1:18">
      <c r="A26" s="9"/>
      <c r="B26" s="9"/>
      <c r="C26" s="9"/>
      <c r="D26" s="9"/>
      <c r="E26" s="9"/>
      <c r="F26" s="9"/>
      <c r="G26" s="9"/>
      <c r="H26" s="9"/>
      <c r="I26" s="9"/>
      <c r="J26" s="9"/>
      <c r="K26" s="9"/>
      <c r="L26" s="9"/>
    </row>
    <row r="28" spans="1:18">
      <c r="A28" s="6" t="s">
        <v>4</v>
      </c>
      <c r="B28" s="9" t="s">
        <v>186</v>
      </c>
      <c r="C28" s="4"/>
      <c r="D28" s="4"/>
      <c r="E28" s="4"/>
      <c r="F28" s="4"/>
      <c r="G28" s="4"/>
      <c r="H28" s="4"/>
      <c r="I28" s="4"/>
      <c r="J28" s="4"/>
      <c r="K28" s="4"/>
      <c r="L28" s="4"/>
      <c r="M28" s="8"/>
      <c r="N28" s="8"/>
      <c r="O28" s="8"/>
      <c r="P28" s="8"/>
      <c r="Q28" s="8"/>
      <c r="R28" s="8"/>
    </row>
    <row r="29" spans="1:18">
      <c r="A29" s="6"/>
      <c r="B29" s="4"/>
      <c r="C29" s="4"/>
      <c r="D29" s="4"/>
      <c r="E29" s="4"/>
      <c r="F29" s="4"/>
      <c r="G29" s="4"/>
      <c r="H29" s="4"/>
      <c r="I29" s="4"/>
      <c r="J29" s="4"/>
      <c r="K29" s="4"/>
      <c r="L29" s="4"/>
      <c r="M29" s="8"/>
      <c r="N29" s="8"/>
      <c r="O29" s="8"/>
      <c r="P29" s="8"/>
      <c r="Q29" s="8"/>
      <c r="R29" s="8"/>
    </row>
    <row r="30" spans="1:18">
      <c r="A30" s="6"/>
      <c r="B30" s="32" t="s">
        <v>56</v>
      </c>
      <c r="C30" s="9" t="s">
        <v>187</v>
      </c>
      <c r="D30" s="9"/>
      <c r="E30" s="4"/>
      <c r="F30" s="4"/>
      <c r="G30" s="4"/>
      <c r="H30" s="4"/>
      <c r="I30" s="4"/>
      <c r="J30" s="4"/>
      <c r="K30" s="4"/>
      <c r="L30" s="4"/>
      <c r="M30" s="8"/>
      <c r="N30" s="8"/>
      <c r="O30" s="8"/>
      <c r="P30" s="8"/>
      <c r="Q30" s="8"/>
      <c r="R30" s="8"/>
    </row>
    <row r="31" spans="1:18">
      <c r="A31" s="6"/>
      <c r="B31" s="9"/>
      <c r="C31" s="9"/>
      <c r="D31" s="9"/>
      <c r="E31" s="4"/>
      <c r="F31" s="4"/>
      <c r="G31" s="4"/>
      <c r="H31" s="4"/>
      <c r="I31" s="4"/>
      <c r="J31" s="4"/>
      <c r="K31" s="4"/>
      <c r="L31" s="4"/>
      <c r="M31" s="8"/>
      <c r="N31" s="8"/>
      <c r="O31" s="8"/>
      <c r="P31" s="8"/>
      <c r="Q31" s="8"/>
      <c r="R31" s="8"/>
    </row>
    <row r="32" spans="1:18">
      <c r="A32" s="6"/>
      <c r="B32" s="9" t="s">
        <v>58</v>
      </c>
      <c r="C32" s="9" t="s">
        <v>188</v>
      </c>
      <c r="D32" s="9"/>
      <c r="E32" s="4"/>
      <c r="F32" s="4"/>
      <c r="G32" s="4"/>
      <c r="H32" s="4"/>
      <c r="I32" s="4"/>
      <c r="J32" s="4"/>
      <c r="K32" s="4"/>
      <c r="L32" s="4"/>
      <c r="M32" s="8"/>
      <c r="N32" s="8"/>
      <c r="O32" s="8"/>
      <c r="P32" s="8"/>
      <c r="Q32" s="8"/>
      <c r="R32" s="8"/>
    </row>
    <row r="33" spans="1:14">
      <c r="A33" s="3"/>
      <c r="B33" s="3"/>
      <c r="C33" s="3"/>
      <c r="D33" s="3"/>
      <c r="E33" s="3"/>
      <c r="F33" s="3"/>
      <c r="G33" s="4"/>
      <c r="H33" s="4"/>
      <c r="I33" s="4"/>
      <c r="J33" s="4"/>
      <c r="K33" s="4"/>
      <c r="L33" s="4"/>
    </row>
    <row r="34" spans="1:14">
      <c r="A34" s="7"/>
      <c r="B34" s="7"/>
      <c r="C34" s="7"/>
      <c r="D34" s="7"/>
      <c r="E34" s="7"/>
      <c r="F34" s="7"/>
      <c r="G34" s="7"/>
      <c r="H34" s="7"/>
      <c r="I34" s="7"/>
      <c r="J34" s="7"/>
      <c r="K34" s="7"/>
      <c r="L34" s="7"/>
      <c r="M34" s="7"/>
    </row>
    <row r="35" spans="1:14">
      <c r="A35" s="7" t="s">
        <v>1</v>
      </c>
      <c r="B35" s="7"/>
      <c r="C35" s="7"/>
      <c r="D35" s="7"/>
      <c r="E35" s="7"/>
      <c r="F35" s="7"/>
      <c r="G35" s="7"/>
      <c r="H35" s="7"/>
      <c r="I35" s="7"/>
      <c r="J35" s="7"/>
      <c r="K35" s="7"/>
      <c r="L35" s="7"/>
      <c r="M35" s="7"/>
      <c r="N35" s="8"/>
    </row>
    <row r="36" spans="1:14">
      <c r="A36" s="93"/>
      <c r="B36" s="233" t="s">
        <v>56</v>
      </c>
      <c r="C36" s="93"/>
      <c r="D36" s="93"/>
      <c r="E36" s="93"/>
      <c r="F36" s="93"/>
      <c r="G36" s="93"/>
      <c r="H36" s="93"/>
      <c r="I36" s="7"/>
      <c r="J36" s="7"/>
      <c r="K36" s="7"/>
      <c r="L36" s="7"/>
      <c r="M36" s="7"/>
      <c r="N36" s="8"/>
    </row>
    <row r="37" spans="1:14" ht="46.8">
      <c r="B37" s="127" t="s">
        <v>181</v>
      </c>
      <c r="C37" s="127" t="s">
        <v>182</v>
      </c>
      <c r="D37" s="127" t="s">
        <v>450</v>
      </c>
      <c r="E37" s="127" t="s">
        <v>451</v>
      </c>
      <c r="F37" s="93"/>
      <c r="G37" s="93"/>
      <c r="H37" s="93"/>
      <c r="I37" s="7"/>
      <c r="J37" s="7"/>
      <c r="K37" s="7"/>
      <c r="L37" s="7"/>
      <c r="M37" s="7"/>
      <c r="N37" s="8"/>
    </row>
    <row r="38" spans="1:14">
      <c r="A38" s="93"/>
      <c r="B38" s="132" t="s">
        <v>197</v>
      </c>
      <c r="C38" s="131">
        <f>C10</f>
        <v>500255</v>
      </c>
      <c r="D38" s="133">
        <f>(0.5^2/2)/0.5</f>
        <v>0.25</v>
      </c>
      <c r="E38" s="131">
        <f>C38*D38</f>
        <v>125063.75</v>
      </c>
      <c r="F38" s="93"/>
      <c r="G38" s="93"/>
      <c r="H38" s="93"/>
      <c r="I38" s="7"/>
      <c r="J38" s="7"/>
      <c r="K38" s="7"/>
      <c r="L38" s="7"/>
      <c r="M38" s="7"/>
      <c r="N38" s="8"/>
    </row>
    <row r="39" spans="1:14">
      <c r="A39" s="93"/>
      <c r="B39" s="132" t="s">
        <v>198</v>
      </c>
      <c r="C39" s="131">
        <f>C11</f>
        <v>518366</v>
      </c>
      <c r="D39" s="112">
        <f>100%-(0.5^2/0.5)</f>
        <v>0.5</v>
      </c>
      <c r="E39" s="131">
        <f t="shared" ref="E39:E40" si="0">C39*D39</f>
        <v>259183</v>
      </c>
      <c r="F39" s="93"/>
      <c r="G39" s="93"/>
      <c r="H39" s="93"/>
      <c r="I39" s="7"/>
      <c r="J39" s="7"/>
      <c r="K39" s="7"/>
      <c r="L39" s="7"/>
      <c r="M39" s="7"/>
      <c r="N39" s="8"/>
    </row>
    <row r="40" spans="1:14">
      <c r="A40" s="93"/>
      <c r="B40" s="128" t="s">
        <v>199</v>
      </c>
      <c r="C40" s="166">
        <f>C12</f>
        <v>506720</v>
      </c>
      <c r="D40" s="135">
        <f>(0.5^2/2)/0.5</f>
        <v>0.25</v>
      </c>
      <c r="E40" s="166">
        <f t="shared" si="0"/>
        <v>126680</v>
      </c>
      <c r="F40" s="93"/>
      <c r="G40" s="93"/>
      <c r="H40" s="93"/>
      <c r="I40" s="7"/>
      <c r="J40" s="7"/>
      <c r="K40" s="7"/>
      <c r="L40" s="7"/>
      <c r="M40" s="7"/>
      <c r="N40" s="8"/>
    </row>
    <row r="41" spans="1:14">
      <c r="A41" s="161"/>
      <c r="B41" s="132" t="s">
        <v>97</v>
      </c>
      <c r="C41" s="132"/>
      <c r="D41" s="132"/>
      <c r="E41" s="131">
        <f>SUM(E38:E40)</f>
        <v>510926.75</v>
      </c>
      <c r="F41" s="1" t="s">
        <v>478</v>
      </c>
      <c r="G41" s="93"/>
      <c r="H41" s="93"/>
      <c r="I41" s="7"/>
      <c r="J41" s="7"/>
      <c r="K41" s="7"/>
      <c r="L41" s="7"/>
      <c r="M41" s="7"/>
      <c r="N41" s="8"/>
    </row>
    <row r="42" spans="1:14">
      <c r="A42" s="93"/>
      <c r="B42" s="93"/>
      <c r="C42" s="93"/>
      <c r="D42" s="93"/>
      <c r="E42" s="93"/>
      <c r="F42" s="93"/>
      <c r="G42" s="93"/>
      <c r="H42" s="93"/>
      <c r="I42" s="7"/>
      <c r="J42" s="7"/>
      <c r="K42" s="7"/>
      <c r="L42" s="7"/>
      <c r="M42" s="7"/>
      <c r="N42" s="8"/>
    </row>
    <row r="43" spans="1:14">
      <c r="B43" s="93" t="s">
        <v>58</v>
      </c>
      <c r="C43" s="93"/>
      <c r="D43" s="93"/>
      <c r="E43" s="93"/>
      <c r="F43" s="93"/>
      <c r="G43" s="93"/>
      <c r="H43" s="93"/>
      <c r="I43" s="7"/>
      <c r="J43" s="7"/>
      <c r="K43" s="7"/>
      <c r="L43" s="7"/>
      <c r="M43" s="7"/>
      <c r="N43" s="8"/>
    </row>
    <row r="44" spans="1:14" ht="46.8">
      <c r="A44" s="93"/>
      <c r="B44" s="93"/>
      <c r="C44" s="127" t="s">
        <v>452</v>
      </c>
      <c r="D44" s="127" t="s">
        <v>453</v>
      </c>
      <c r="E44" s="128" t="s">
        <v>97</v>
      </c>
      <c r="F44" s="93"/>
      <c r="G44" s="93"/>
      <c r="H44" s="93"/>
      <c r="I44" s="7"/>
      <c r="J44" s="7"/>
      <c r="K44" s="7"/>
      <c r="L44" s="7"/>
      <c r="M44" s="7"/>
      <c r="N44" s="8"/>
    </row>
    <row r="45" spans="1:14">
      <c r="A45" s="93"/>
      <c r="B45" s="93"/>
      <c r="C45" s="131">
        <f>0.25*C12</f>
        <v>126680</v>
      </c>
      <c r="D45" s="131">
        <f>0.75*C13</f>
        <v>389035.5</v>
      </c>
      <c r="E45" s="131">
        <f>SUM(C45:D45)</f>
        <v>515715.5</v>
      </c>
      <c r="F45" s="1" t="s">
        <v>478</v>
      </c>
      <c r="G45" s="93"/>
      <c r="H45" s="93"/>
      <c r="I45" s="7"/>
      <c r="J45" s="7"/>
      <c r="K45" s="7"/>
      <c r="L45" s="7"/>
      <c r="M45" s="7"/>
      <c r="N45" s="8"/>
    </row>
    <row r="47" spans="1:14">
      <c r="A47" s="6" t="s">
        <v>5</v>
      </c>
      <c r="B47" s="293" t="s">
        <v>189</v>
      </c>
      <c r="C47" s="293"/>
      <c r="D47" s="293"/>
      <c r="E47" s="293"/>
      <c r="F47" s="293"/>
      <c r="G47" s="293"/>
      <c r="H47" s="293"/>
      <c r="I47" s="293"/>
      <c r="J47" s="293"/>
      <c r="K47" s="293"/>
      <c r="L47" s="4"/>
    </row>
    <row r="48" spans="1:14">
      <c r="A48" s="6"/>
      <c r="B48" s="293"/>
      <c r="C48" s="293"/>
      <c r="D48" s="293"/>
      <c r="E48" s="293"/>
      <c r="F48" s="293"/>
      <c r="G48" s="293"/>
      <c r="H48" s="293"/>
      <c r="I48" s="293"/>
      <c r="J48" s="293"/>
      <c r="K48" s="293"/>
      <c r="L48" s="4"/>
    </row>
    <row r="49" spans="1:20">
      <c r="A49" s="3"/>
      <c r="B49" s="3"/>
      <c r="C49" s="3"/>
      <c r="D49" s="3"/>
      <c r="E49" s="3"/>
      <c r="F49" s="3"/>
      <c r="G49" s="4"/>
      <c r="H49" s="4"/>
      <c r="I49" s="4"/>
      <c r="J49" s="4"/>
      <c r="K49" s="4"/>
      <c r="L49" s="4"/>
    </row>
    <row r="50" spans="1:20">
      <c r="A50" s="7"/>
      <c r="B50" s="7"/>
      <c r="C50" s="7"/>
      <c r="D50" s="7"/>
      <c r="E50" s="7"/>
      <c r="F50" s="7"/>
      <c r="G50" s="7"/>
      <c r="H50" s="7"/>
      <c r="I50" s="7"/>
      <c r="J50" s="7"/>
      <c r="K50" s="7"/>
      <c r="L50" s="7"/>
    </row>
    <row r="51" spans="1:20">
      <c r="A51" s="7" t="s">
        <v>1</v>
      </c>
      <c r="B51" s="7"/>
      <c r="C51" s="7"/>
      <c r="D51" s="7"/>
      <c r="E51" s="7"/>
      <c r="F51" s="7"/>
      <c r="G51" s="7"/>
      <c r="H51" s="7"/>
      <c r="I51" s="7"/>
      <c r="J51" s="7"/>
      <c r="K51" s="7"/>
      <c r="L51" s="7"/>
    </row>
    <row r="52" spans="1:20">
      <c r="A52" s="93"/>
      <c r="B52" s="93"/>
      <c r="C52" s="93"/>
      <c r="D52" s="93"/>
      <c r="J52"/>
      <c r="K52"/>
      <c r="L52"/>
      <c r="M52"/>
      <c r="N52"/>
      <c r="O52"/>
      <c r="P52"/>
      <c r="Q52"/>
      <c r="R52"/>
      <c r="S52"/>
      <c r="T52"/>
    </row>
    <row r="53" spans="1:20" ht="33.6" customHeight="1">
      <c r="A53" s="93"/>
      <c r="B53" s="93"/>
      <c r="C53" s="93"/>
      <c r="D53" s="226"/>
      <c r="G53" s="330" t="s">
        <v>469</v>
      </c>
      <c r="H53" s="330"/>
      <c r="J53"/>
      <c r="K53"/>
      <c r="L53"/>
      <c r="M53"/>
      <c r="N53"/>
      <c r="O53"/>
      <c r="P53"/>
      <c r="Q53"/>
      <c r="R53"/>
      <c r="S53"/>
      <c r="T53"/>
    </row>
    <row r="54" spans="1:20" ht="46.8">
      <c r="A54" s="127" t="s">
        <v>181</v>
      </c>
      <c r="B54" s="127" t="s">
        <v>16</v>
      </c>
      <c r="C54" s="127" t="s">
        <v>270</v>
      </c>
      <c r="D54" s="127" t="s">
        <v>470</v>
      </c>
      <c r="E54" s="127" t="s">
        <v>460</v>
      </c>
      <c r="F54" s="127" t="s">
        <v>461</v>
      </c>
      <c r="G54" s="127" t="s">
        <v>454</v>
      </c>
      <c r="H54" s="127" t="s">
        <v>455</v>
      </c>
      <c r="J54"/>
      <c r="K54"/>
      <c r="L54"/>
      <c r="M54"/>
      <c r="N54"/>
      <c r="O54"/>
      <c r="P54"/>
      <c r="Q54"/>
      <c r="R54"/>
      <c r="S54"/>
      <c r="T54"/>
    </row>
    <row r="55" spans="1:20">
      <c r="A55" s="132" t="s">
        <v>195</v>
      </c>
      <c r="B55" s="131">
        <f t="shared" ref="B55:C60" si="1">D8</f>
        <v>518804</v>
      </c>
      <c r="C55" s="131">
        <f t="shared" si="1"/>
        <v>364784</v>
      </c>
      <c r="D55" s="234">
        <f>C55/B55</f>
        <v>0.70312487953061276</v>
      </c>
      <c r="E55" s="205">
        <v>2</v>
      </c>
      <c r="F55" s="235">
        <f>(1+$D$23)^E55</f>
        <v>1.0201</v>
      </c>
      <c r="G55" s="238">
        <f>F55*D55</f>
        <v>0.71725768960917813</v>
      </c>
      <c r="H55" s="238"/>
      <c r="J55"/>
      <c r="K55"/>
      <c r="L55"/>
      <c r="M55"/>
      <c r="N55"/>
      <c r="O55"/>
      <c r="P55"/>
      <c r="Q55"/>
      <c r="R55"/>
      <c r="S55"/>
      <c r="T55"/>
    </row>
    <row r="56" spans="1:20">
      <c r="A56" s="132" t="s">
        <v>196</v>
      </c>
      <c r="B56" s="131">
        <f t="shared" si="1"/>
        <v>520827</v>
      </c>
      <c r="C56" s="131">
        <f t="shared" si="1"/>
        <v>232393</v>
      </c>
      <c r="D56" s="234">
        <f t="shared" ref="D56:D60" si="2">C56/B56</f>
        <v>0.44619998579182724</v>
      </c>
      <c r="E56" s="205">
        <v>2</v>
      </c>
      <c r="F56" s="235">
        <f t="shared" ref="F56:F60" si="3">(1+$D$23)^E56</f>
        <v>1.0201</v>
      </c>
      <c r="G56" s="238"/>
      <c r="H56" s="238">
        <f>F56*D56</f>
        <v>0.45516860550624294</v>
      </c>
      <c r="J56"/>
      <c r="K56"/>
      <c r="L56"/>
      <c r="M56"/>
      <c r="N56"/>
      <c r="O56"/>
      <c r="P56"/>
      <c r="Q56"/>
      <c r="R56"/>
      <c r="S56"/>
      <c r="T56"/>
    </row>
    <row r="57" spans="1:20">
      <c r="A57" s="132" t="s">
        <v>197</v>
      </c>
      <c r="B57" s="131">
        <f t="shared" si="1"/>
        <v>514671</v>
      </c>
      <c r="C57" s="131">
        <f t="shared" si="1"/>
        <v>365518</v>
      </c>
      <c r="D57" s="234">
        <f t="shared" si="2"/>
        <v>0.71019738823442546</v>
      </c>
      <c r="E57" s="205">
        <v>1</v>
      </c>
      <c r="F57" s="235">
        <f t="shared" si="3"/>
        <v>1.01</v>
      </c>
      <c r="G57" s="238">
        <f>F57*D57</f>
        <v>0.7172993621167697</v>
      </c>
      <c r="H57" s="238"/>
      <c r="J57"/>
      <c r="K57"/>
      <c r="L57"/>
      <c r="M57"/>
      <c r="N57"/>
      <c r="O57"/>
      <c r="P57"/>
      <c r="Q57"/>
      <c r="R57"/>
      <c r="S57"/>
      <c r="T57"/>
    </row>
    <row r="58" spans="1:20">
      <c r="A58" s="132" t="s">
        <v>198</v>
      </c>
      <c r="B58" s="131">
        <f t="shared" si="1"/>
        <v>509071</v>
      </c>
      <c r="C58" s="131">
        <f t="shared" si="1"/>
        <v>229396</v>
      </c>
      <c r="D58" s="234">
        <f t="shared" si="2"/>
        <v>0.45061690805408283</v>
      </c>
      <c r="E58" s="205">
        <v>1</v>
      </c>
      <c r="F58" s="235">
        <f t="shared" si="3"/>
        <v>1.01</v>
      </c>
      <c r="G58" s="238"/>
      <c r="H58" s="238">
        <f>F58*D58</f>
        <v>0.45512307713462369</v>
      </c>
      <c r="J58"/>
      <c r="K58"/>
      <c r="L58"/>
      <c r="M58"/>
      <c r="N58"/>
      <c r="O58"/>
      <c r="P58"/>
      <c r="Q58"/>
      <c r="R58"/>
      <c r="S58"/>
      <c r="T58"/>
    </row>
    <row r="59" spans="1:20">
      <c r="A59" s="132" t="s">
        <v>199</v>
      </c>
      <c r="B59" s="131">
        <f t="shared" si="1"/>
        <v>510927</v>
      </c>
      <c r="C59" s="131">
        <f t="shared" si="1"/>
        <v>366542</v>
      </c>
      <c r="D59" s="234">
        <f t="shared" si="2"/>
        <v>0.71740581335494114</v>
      </c>
      <c r="E59" s="205">
        <v>0</v>
      </c>
      <c r="F59" s="235">
        <f t="shared" si="3"/>
        <v>1</v>
      </c>
      <c r="G59" s="238">
        <f>F59*D59</f>
        <v>0.71740581335494114</v>
      </c>
      <c r="H59" s="238"/>
      <c r="J59"/>
      <c r="K59"/>
      <c r="L59"/>
      <c r="M59"/>
      <c r="N59"/>
      <c r="O59"/>
      <c r="P59"/>
      <c r="Q59"/>
      <c r="R59"/>
      <c r="S59"/>
      <c r="T59"/>
    </row>
    <row r="60" spans="1:20">
      <c r="A60" s="128" t="s">
        <v>200</v>
      </c>
      <c r="B60" s="166">
        <f t="shared" si="1"/>
        <v>512630</v>
      </c>
      <c r="C60" s="166">
        <f t="shared" si="1"/>
        <v>233315</v>
      </c>
      <c r="D60" s="193">
        <f t="shared" si="2"/>
        <v>0.45513333203285022</v>
      </c>
      <c r="E60" s="236">
        <v>0</v>
      </c>
      <c r="F60" s="237">
        <f t="shared" si="3"/>
        <v>1</v>
      </c>
      <c r="G60" s="239"/>
      <c r="H60" s="239">
        <f>F60*D60</f>
        <v>0.45513333203285022</v>
      </c>
      <c r="J60"/>
      <c r="K60"/>
      <c r="L60"/>
      <c r="M60"/>
      <c r="N60"/>
      <c r="O60"/>
      <c r="P60"/>
      <c r="Q60"/>
      <c r="R60"/>
      <c r="S60"/>
      <c r="T60"/>
    </row>
    <row r="61" spans="1:20">
      <c r="A61" s="132" t="s">
        <v>97</v>
      </c>
      <c r="B61" s="131">
        <f>SUM(B55:B60)</f>
        <v>3086930</v>
      </c>
      <c r="C61" s="131">
        <f>SUM(C55:C60)</f>
        <v>1791948</v>
      </c>
      <c r="D61" s="234">
        <f>C61/B61</f>
        <v>0.5804951845360925</v>
      </c>
      <c r="G61" s="238">
        <f>AVERAGE(G55:G60)</f>
        <v>0.71732095502696291</v>
      </c>
      <c r="H61" s="238">
        <f>AVERAGE(H55:H60)</f>
        <v>0.45514167155790569</v>
      </c>
      <c r="J61"/>
      <c r="K61"/>
      <c r="L61"/>
      <c r="M61"/>
      <c r="N61"/>
      <c r="O61"/>
      <c r="P61"/>
      <c r="Q61"/>
      <c r="R61"/>
      <c r="S61"/>
      <c r="T61"/>
    </row>
    <row r="62" spans="1:20">
      <c r="A62" s="93"/>
      <c r="B62" s="93"/>
      <c r="C62" s="93"/>
      <c r="D62" s="93"/>
      <c r="E62" s="93"/>
      <c r="F62" s="93"/>
      <c r="G62" s="93"/>
      <c r="H62" s="93"/>
      <c r="I62" s="93"/>
      <c r="J62" s="93"/>
      <c r="K62"/>
      <c r="L62"/>
      <c r="M62"/>
      <c r="N62"/>
      <c r="O62"/>
      <c r="P62"/>
      <c r="Q62"/>
      <c r="R62"/>
      <c r="S62"/>
      <c r="T62"/>
    </row>
    <row r="63" spans="1:20" ht="31.2" customHeight="1">
      <c r="A63" s="192" t="s">
        <v>474</v>
      </c>
      <c r="B63" s="192"/>
      <c r="C63" s="214"/>
      <c r="D63" s="127" t="s">
        <v>476</v>
      </c>
      <c r="E63" s="127" t="s">
        <v>477</v>
      </c>
      <c r="F63" s="127" t="s">
        <v>97</v>
      </c>
      <c r="G63" s="93"/>
      <c r="H63" s="93"/>
      <c r="I63" s="93"/>
      <c r="J63" s="93"/>
      <c r="K63"/>
      <c r="L63"/>
      <c r="M63"/>
      <c r="N63"/>
      <c r="O63"/>
      <c r="P63"/>
      <c r="Q63"/>
      <c r="R63"/>
      <c r="S63"/>
      <c r="T63"/>
    </row>
    <row r="64" spans="1:20">
      <c r="A64" s="93" t="s">
        <v>462</v>
      </c>
      <c r="B64" s="93"/>
      <c r="D64" s="131">
        <f>D66</f>
        <v>126680</v>
      </c>
      <c r="E64" s="131">
        <f>E66-E65</f>
        <v>259357</v>
      </c>
      <c r="F64" s="132"/>
      <c r="G64" s="226"/>
      <c r="H64" s="93"/>
      <c r="I64" s="93"/>
      <c r="J64" s="93"/>
      <c r="K64"/>
      <c r="L64"/>
      <c r="M64"/>
      <c r="N64"/>
      <c r="O64"/>
      <c r="P64"/>
      <c r="Q64"/>
      <c r="R64"/>
      <c r="S64"/>
      <c r="T64"/>
    </row>
    <row r="65" spans="1:20">
      <c r="A65" s="192" t="s">
        <v>463</v>
      </c>
      <c r="B65" s="192"/>
      <c r="C65" s="214"/>
      <c r="D65" s="128"/>
      <c r="E65" s="166">
        <f>25%*$C$13</f>
        <v>129678.5</v>
      </c>
      <c r="F65" s="128"/>
      <c r="G65" s="93"/>
      <c r="H65" s="93"/>
      <c r="I65" s="93"/>
      <c r="J65" s="93"/>
      <c r="K65"/>
      <c r="L65"/>
      <c r="M65"/>
      <c r="N65"/>
      <c r="O65"/>
      <c r="P65"/>
      <c r="Q65"/>
      <c r="R65"/>
      <c r="S65"/>
      <c r="T65"/>
    </row>
    <row r="66" spans="1:20">
      <c r="A66" s="93" t="s">
        <v>464</v>
      </c>
      <c r="B66" s="93"/>
      <c r="D66" s="131">
        <f>25%*$C$12</f>
        <v>126680</v>
      </c>
      <c r="E66" s="131">
        <f>75%*$C$13</f>
        <v>389035.5</v>
      </c>
      <c r="F66" s="131">
        <f>SUM(D66:E66)</f>
        <v>515715.5</v>
      </c>
      <c r="G66" s="93"/>
      <c r="H66" s="93"/>
      <c r="I66" s="93"/>
      <c r="J66" s="93"/>
      <c r="K66"/>
      <c r="L66"/>
      <c r="M66"/>
      <c r="N66"/>
      <c r="O66"/>
      <c r="P66"/>
      <c r="Q66"/>
      <c r="R66"/>
      <c r="S66"/>
      <c r="T66"/>
    </row>
    <row r="67" spans="1:20">
      <c r="A67" s="93"/>
      <c r="B67" s="93"/>
      <c r="D67" s="132"/>
      <c r="E67" s="131"/>
      <c r="F67" s="132"/>
      <c r="G67" s="93"/>
      <c r="H67" s="93"/>
      <c r="I67" s="93"/>
      <c r="J67" s="93"/>
      <c r="K67"/>
      <c r="L67"/>
      <c r="M67"/>
      <c r="N67"/>
      <c r="O67"/>
      <c r="P67"/>
      <c r="Q67"/>
      <c r="R67"/>
      <c r="S67"/>
      <c r="T67"/>
    </row>
    <row r="68" spans="1:20">
      <c r="A68" s="93" t="s">
        <v>475</v>
      </c>
      <c r="B68" s="93"/>
      <c r="D68" s="240">
        <v>44287</v>
      </c>
      <c r="E68" s="240">
        <v>44470</v>
      </c>
      <c r="F68" s="132"/>
      <c r="G68" s="93"/>
      <c r="H68" s="93"/>
      <c r="I68" s="93"/>
      <c r="J68" s="93"/>
      <c r="K68"/>
      <c r="L68"/>
      <c r="M68"/>
      <c r="N68"/>
      <c r="O68"/>
      <c r="P68"/>
      <c r="Q68"/>
      <c r="R68"/>
      <c r="S68"/>
      <c r="T68"/>
    </row>
    <row r="69" spans="1:20">
      <c r="A69" s="93"/>
      <c r="B69" s="93"/>
      <c r="D69" s="132"/>
      <c r="E69" s="131"/>
      <c r="F69" s="132"/>
      <c r="G69" s="93"/>
      <c r="H69" s="93"/>
      <c r="I69" s="93"/>
      <c r="J69" s="93"/>
      <c r="K69"/>
      <c r="L69"/>
      <c r="M69"/>
      <c r="N69"/>
      <c r="O69"/>
      <c r="P69"/>
      <c r="Q69"/>
      <c r="R69"/>
      <c r="S69"/>
      <c r="T69"/>
    </row>
    <row r="70" spans="1:20">
      <c r="A70" s="151" t="s">
        <v>465</v>
      </c>
      <c r="B70" s="151"/>
      <c r="C70" s="216"/>
      <c r="D70" s="151"/>
      <c r="E70" s="151"/>
      <c r="F70" s="93"/>
      <c r="G70" s="93"/>
      <c r="H70" s="93"/>
      <c r="I70" s="93"/>
      <c r="J70" s="93"/>
      <c r="K70"/>
      <c r="L70"/>
      <c r="M70"/>
      <c r="N70"/>
      <c r="O70"/>
      <c r="P70"/>
      <c r="Q70"/>
      <c r="R70"/>
      <c r="S70"/>
      <c r="T70"/>
    </row>
    <row r="71" spans="1:20">
      <c r="A71" s="151" t="s">
        <v>462</v>
      </c>
      <c r="B71" s="151"/>
      <c r="C71" s="216"/>
      <c r="D71" s="241">
        <f>DATE(2022,1,1)+1/8*365</f>
        <v>44607.625</v>
      </c>
      <c r="E71" s="241">
        <v>44652</v>
      </c>
      <c r="F71" s="93"/>
      <c r="G71" s="93"/>
      <c r="H71" s="93"/>
      <c r="I71" s="93"/>
      <c r="J71" s="93"/>
      <c r="K71"/>
      <c r="L71"/>
      <c r="M71"/>
      <c r="N71"/>
      <c r="O71"/>
      <c r="P71"/>
      <c r="Q71"/>
      <c r="R71"/>
      <c r="S71"/>
      <c r="T71"/>
    </row>
    <row r="72" spans="1:20">
      <c r="A72" s="151" t="s">
        <v>463</v>
      </c>
      <c r="B72" s="151"/>
      <c r="C72" s="216"/>
      <c r="D72" s="241"/>
      <c r="E72" s="241">
        <f>DATE(2022,7,1)+1/8*365</f>
        <v>44788.625</v>
      </c>
      <c r="F72" s="93"/>
      <c r="G72" s="93"/>
      <c r="H72" s="93"/>
      <c r="I72" s="93"/>
      <c r="J72" s="93"/>
      <c r="K72"/>
      <c r="L72"/>
      <c r="M72"/>
      <c r="N72"/>
      <c r="O72"/>
      <c r="P72"/>
      <c r="Q72"/>
      <c r="R72"/>
      <c r="S72"/>
      <c r="T72"/>
    </row>
    <row r="73" spans="1:20">
      <c r="A73" s="151"/>
      <c r="B73" s="151"/>
      <c r="C73" s="216"/>
      <c r="D73" s="151"/>
      <c r="E73" s="151"/>
      <c r="F73" s="93"/>
      <c r="G73" s="93"/>
      <c r="H73" s="93"/>
      <c r="I73" s="93"/>
      <c r="J73" s="93"/>
      <c r="K73"/>
      <c r="L73"/>
      <c r="M73"/>
      <c r="N73"/>
      <c r="O73"/>
      <c r="P73"/>
      <c r="Q73"/>
      <c r="R73"/>
      <c r="S73"/>
      <c r="T73"/>
    </row>
    <row r="74" spans="1:20">
      <c r="A74" s="93" t="s">
        <v>466</v>
      </c>
      <c r="B74" s="226"/>
      <c r="F74" s="93"/>
      <c r="G74" s="93"/>
      <c r="H74" s="93"/>
      <c r="I74" s="93"/>
      <c r="J74" s="93"/>
      <c r="K74"/>
      <c r="L74"/>
      <c r="M74"/>
      <c r="N74"/>
      <c r="O74"/>
      <c r="P74"/>
      <c r="Q74"/>
      <c r="R74"/>
      <c r="S74"/>
      <c r="T74"/>
    </row>
    <row r="75" spans="1:20">
      <c r="A75" s="151" t="s">
        <v>462</v>
      </c>
      <c r="B75" s="226"/>
      <c r="D75" s="208">
        <f>(1+$D$23)^((D71-D68)/365)</f>
        <v>1.0087789266942526</v>
      </c>
      <c r="E75" s="208">
        <f>(1+$D$23)^((E71-E68)/365)</f>
        <v>1.0049738636318233</v>
      </c>
      <c r="F75" s="93"/>
      <c r="G75" s="93"/>
      <c r="H75" s="93"/>
      <c r="I75" s="93"/>
      <c r="J75" s="93"/>
      <c r="K75"/>
      <c r="L75"/>
      <c r="M75"/>
      <c r="N75"/>
      <c r="O75"/>
      <c r="P75"/>
      <c r="Q75"/>
      <c r="R75"/>
      <c r="S75"/>
      <c r="T75"/>
    </row>
    <row r="76" spans="1:20">
      <c r="A76" s="151" t="s">
        <v>463</v>
      </c>
      <c r="B76" s="93"/>
      <c r="D76" s="208"/>
      <c r="E76" s="208">
        <f>(1+$D$23)^((E72-E68)/365)</f>
        <v>1.0087239271849695</v>
      </c>
      <c r="F76" s="93"/>
      <c r="G76" s="93"/>
      <c r="H76" s="93"/>
      <c r="I76" s="93"/>
      <c r="J76" s="93"/>
      <c r="K76"/>
      <c r="L76"/>
      <c r="M76"/>
      <c r="N76"/>
      <c r="O76"/>
      <c r="P76"/>
      <c r="Q76"/>
      <c r="R76"/>
      <c r="S76"/>
      <c r="T76"/>
    </row>
    <row r="77" spans="1:20">
      <c r="A77" s="93"/>
      <c r="B77" s="93"/>
      <c r="D77" s="93"/>
      <c r="E77" s="93"/>
      <c r="F77" s="93"/>
      <c r="G77" s="93"/>
      <c r="H77" s="93"/>
      <c r="I77" s="93"/>
      <c r="J77" s="233"/>
      <c r="K77"/>
      <c r="L77"/>
      <c r="M77"/>
      <c r="N77"/>
      <c r="O77"/>
      <c r="P77"/>
      <c r="Q77"/>
      <c r="R77"/>
      <c r="S77"/>
      <c r="T77"/>
    </row>
    <row r="78" spans="1:20">
      <c r="A78" s="93" t="s">
        <v>467</v>
      </c>
      <c r="B78" s="93"/>
      <c r="G78" s="226"/>
      <c r="H78" s="93"/>
      <c r="I78" s="93"/>
      <c r="J78" s="233"/>
      <c r="K78"/>
      <c r="L78"/>
      <c r="M78"/>
      <c r="N78"/>
      <c r="O78"/>
      <c r="P78"/>
      <c r="Q78"/>
      <c r="R78"/>
      <c r="S78"/>
      <c r="T78"/>
    </row>
    <row r="79" spans="1:20">
      <c r="A79" s="151" t="s">
        <v>462</v>
      </c>
      <c r="B79" s="93"/>
      <c r="D79" s="234">
        <f>D75*G61</f>
        <v>0.72361826310739585</v>
      </c>
      <c r="E79" s="242">
        <f>G61*E75</f>
        <v>0.72088881163751628</v>
      </c>
      <c r="F79" s="93"/>
      <c r="G79" s="93"/>
      <c r="H79" s="93"/>
      <c r="I79" s="93"/>
      <c r="J79" s="233"/>
      <c r="K79"/>
      <c r="L79"/>
      <c r="M79"/>
      <c r="N79"/>
      <c r="O79"/>
      <c r="P79"/>
      <c r="Q79"/>
      <c r="R79"/>
      <c r="S79"/>
      <c r="T79"/>
    </row>
    <row r="80" spans="1:20">
      <c r="A80" s="192" t="s">
        <v>463</v>
      </c>
      <c r="B80" s="192"/>
      <c r="C80" s="214"/>
      <c r="D80" s="166"/>
      <c r="E80" s="243">
        <f>E76*H61</f>
        <v>0.45911229435942219</v>
      </c>
      <c r="F80" s="93"/>
      <c r="G80" s="93"/>
      <c r="H80" s="93"/>
      <c r="I80" s="93"/>
      <c r="J80" s="233"/>
      <c r="K80"/>
      <c r="L80"/>
      <c r="M80"/>
      <c r="N80"/>
      <c r="O80"/>
      <c r="P80"/>
      <c r="Q80"/>
      <c r="R80"/>
      <c r="S80"/>
      <c r="T80"/>
    </row>
    <row r="81" spans="1:20">
      <c r="A81" s="151" t="s">
        <v>468</v>
      </c>
      <c r="B81" s="93"/>
      <c r="D81" s="131"/>
      <c r="E81" s="242" cm="1">
        <f t="array" ref="E81">SUMPRODUCT(D79:E80*D64:E65)/F66</f>
        <v>0.65573463422062073</v>
      </c>
      <c r="F81" s="93"/>
      <c r="G81" s="93"/>
      <c r="H81" s="93"/>
      <c r="I81" s="93"/>
      <c r="J81" s="233"/>
      <c r="K81"/>
      <c r="L81"/>
      <c r="M81"/>
      <c r="N81"/>
      <c r="O81"/>
      <c r="P81"/>
      <c r="Q81"/>
      <c r="R81"/>
      <c r="S81"/>
      <c r="T81"/>
    </row>
    <row r="83" spans="1:20">
      <c r="A83" s="6" t="s">
        <v>0</v>
      </c>
      <c r="B83" s="9" t="s">
        <v>190</v>
      </c>
      <c r="C83" s="4"/>
      <c r="D83" s="4"/>
      <c r="E83" s="4"/>
      <c r="F83" s="4"/>
      <c r="G83" s="4"/>
      <c r="H83" s="4"/>
      <c r="I83" s="4"/>
      <c r="J83" s="4"/>
      <c r="K83" s="4"/>
      <c r="L83" s="4"/>
    </row>
    <row r="84" spans="1:20">
      <c r="A84" s="3"/>
      <c r="B84" s="3"/>
      <c r="C84" s="3"/>
      <c r="D84" s="3"/>
      <c r="E84" s="3"/>
      <c r="F84" s="3"/>
      <c r="G84" s="4"/>
      <c r="H84" s="4"/>
      <c r="I84" s="4"/>
      <c r="J84" s="4"/>
      <c r="K84" s="4"/>
      <c r="L84" s="4"/>
    </row>
    <row r="85" spans="1:20">
      <c r="A85" s="7"/>
      <c r="B85" s="7"/>
      <c r="C85" s="7"/>
      <c r="D85" s="7"/>
      <c r="E85" s="7"/>
      <c r="F85" s="7"/>
      <c r="G85" s="7"/>
      <c r="H85" s="7"/>
      <c r="I85" s="7"/>
      <c r="J85" s="7"/>
      <c r="K85" s="7"/>
      <c r="L85" s="7"/>
    </row>
    <row r="86" spans="1:20">
      <c r="A86" s="7" t="s">
        <v>1</v>
      </c>
      <c r="B86" s="7"/>
      <c r="C86" s="7"/>
      <c r="D86" s="7"/>
      <c r="E86" s="7"/>
      <c r="F86" s="7"/>
      <c r="G86" s="7"/>
      <c r="H86" s="7"/>
      <c r="I86" s="7"/>
      <c r="J86" s="7"/>
      <c r="K86" s="7"/>
      <c r="L86" s="7"/>
    </row>
    <row r="87" spans="1:20">
      <c r="A87" s="192"/>
      <c r="B87" s="192"/>
      <c r="C87" s="128" t="s">
        <v>456</v>
      </c>
      <c r="D87" s="128" t="s">
        <v>457</v>
      </c>
    </row>
    <row r="88" spans="1:20">
      <c r="A88" s="93" t="s">
        <v>473</v>
      </c>
      <c r="B88" s="93"/>
      <c r="C88" s="131">
        <f>F66</f>
        <v>515715.5</v>
      </c>
      <c r="D88" s="131">
        <f>0.75*C88</f>
        <v>386786.625</v>
      </c>
    </row>
    <row r="89" spans="1:20">
      <c r="A89" s="93" t="s">
        <v>467</v>
      </c>
      <c r="B89" s="93"/>
      <c r="C89" s="244">
        <f>E81</f>
        <v>0.65573463422062073</v>
      </c>
      <c r="D89" s="244">
        <f>C89</f>
        <v>0.65573463422062073</v>
      </c>
      <c r="M89" s="7"/>
      <c r="N89" s="7"/>
    </row>
    <row r="90" spans="1:20">
      <c r="A90" s="93" t="s">
        <v>471</v>
      </c>
      <c r="B90" s="93"/>
      <c r="C90" s="131">
        <f>C88*C89</f>
        <v>338172.51475440455</v>
      </c>
      <c r="D90" s="131">
        <f>D88*D89</f>
        <v>253629.38606580341</v>
      </c>
      <c r="M90" s="7"/>
      <c r="N90" s="7"/>
    </row>
    <row r="91" spans="1:20">
      <c r="A91" s="93" t="s">
        <v>458</v>
      </c>
      <c r="B91" s="93"/>
      <c r="C91" s="131">
        <f>C20*C90</f>
        <v>19275.83334100106</v>
      </c>
      <c r="D91" s="131">
        <f>C91</f>
        <v>19275.83334100106</v>
      </c>
      <c r="M91" s="7"/>
      <c r="N91" s="7"/>
    </row>
    <row r="92" spans="1:20">
      <c r="A92" s="192" t="s">
        <v>459</v>
      </c>
      <c r="B92" s="192"/>
      <c r="C92" s="166">
        <f>E21*G22*C88</f>
        <v>27848.636999999999</v>
      </c>
      <c r="D92" s="166">
        <f>C92</f>
        <v>27848.636999999999</v>
      </c>
    </row>
    <row r="93" spans="1:20">
      <c r="A93" s="93" t="s">
        <v>472</v>
      </c>
      <c r="B93" s="93"/>
      <c r="C93" s="131">
        <f>SUM(C90:C92)</f>
        <v>385296.9850954056</v>
      </c>
      <c r="D93" s="131">
        <f>SUM(D90:D92)</f>
        <v>300753.85640680447</v>
      </c>
    </row>
  </sheetData>
  <mergeCells count="2">
    <mergeCell ref="B47:K48"/>
    <mergeCell ref="G53:H53"/>
  </mergeCells>
  <pageMargins left="0.7" right="0.7"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60E79-8111-4B50-9DC3-951708858D34}">
  <dimension ref="A1:R98"/>
  <sheetViews>
    <sheetView zoomScaleNormal="100" workbookViewId="0"/>
  </sheetViews>
  <sheetFormatPr defaultColWidth="8.88671875" defaultRowHeight="15.6"/>
  <cols>
    <col min="1" max="1" width="8.88671875" style="1" customWidth="1"/>
    <col min="2" max="2" width="12.6640625" style="1" customWidth="1"/>
    <col min="3" max="3" width="18.6640625" style="1" customWidth="1"/>
    <col min="4" max="4" width="17.109375" style="1" customWidth="1"/>
    <col min="5" max="5" width="15.6640625" style="1" customWidth="1"/>
    <col min="6" max="6" width="18.44140625" style="1" customWidth="1"/>
    <col min="7" max="7" width="18.21875" style="1" customWidth="1"/>
    <col min="8" max="12" width="10.6640625" style="1" customWidth="1"/>
    <col min="13" max="16384" width="8.88671875" style="1"/>
  </cols>
  <sheetData>
    <row r="1" spans="1:12" ht="17.399999999999999">
      <c r="A1" s="2" t="s">
        <v>191</v>
      </c>
      <c r="B1" s="4"/>
      <c r="C1" s="9" t="s">
        <v>12</v>
      </c>
      <c r="D1" s="4"/>
      <c r="E1" s="4"/>
      <c r="F1" s="4"/>
      <c r="G1" s="4"/>
      <c r="H1" s="4"/>
      <c r="I1" s="4"/>
      <c r="J1" s="4"/>
      <c r="K1" s="4"/>
      <c r="L1" s="3"/>
    </row>
    <row r="2" spans="1:12">
      <c r="A2" s="4"/>
      <c r="B2" s="4"/>
      <c r="C2" s="4"/>
      <c r="D2" s="4"/>
      <c r="E2" s="4"/>
      <c r="F2" s="4"/>
      <c r="G2" s="4"/>
      <c r="H2" s="4"/>
      <c r="I2" s="4"/>
      <c r="J2" s="4"/>
      <c r="K2" s="4"/>
      <c r="L2" s="3"/>
    </row>
    <row r="4" spans="1:12">
      <c r="A4" s="5" t="s">
        <v>8</v>
      </c>
      <c r="B4" s="3"/>
      <c r="C4" s="3"/>
      <c r="D4" s="3"/>
      <c r="E4" s="3"/>
      <c r="F4" s="3"/>
      <c r="G4" s="3"/>
      <c r="H4" s="3"/>
      <c r="I4" s="3"/>
      <c r="J4" s="3"/>
      <c r="K4" s="3"/>
      <c r="L4" s="3"/>
    </row>
    <row r="5" spans="1:12">
      <c r="A5" s="7"/>
      <c r="B5" s="7"/>
      <c r="C5" s="7"/>
      <c r="D5" s="7"/>
      <c r="E5" s="7"/>
      <c r="F5" s="7"/>
      <c r="G5" s="7"/>
      <c r="H5" s="7"/>
      <c r="I5" s="7"/>
      <c r="J5" s="7"/>
      <c r="K5" s="7"/>
      <c r="L5" s="7"/>
    </row>
    <row r="6" spans="1:12">
      <c r="A6" s="5" t="s">
        <v>67</v>
      </c>
      <c r="B6" s="3"/>
      <c r="C6" s="3"/>
      <c r="D6" s="3"/>
      <c r="E6" s="3"/>
      <c r="F6" s="3"/>
      <c r="G6" s="3"/>
      <c r="H6" s="3"/>
      <c r="I6" s="3"/>
      <c r="J6" s="3"/>
      <c r="K6" s="3"/>
      <c r="L6" s="3"/>
    </row>
    <row r="7" spans="1:12">
      <c r="A7" s="7"/>
      <c r="B7" s="7"/>
      <c r="C7" s="7"/>
      <c r="D7" s="7"/>
      <c r="E7" s="7"/>
      <c r="F7" s="7"/>
      <c r="G7" s="7"/>
      <c r="H7" s="7"/>
      <c r="I7" s="7"/>
      <c r="J7" s="7"/>
      <c r="K7" s="7"/>
      <c r="L7" s="7"/>
    </row>
    <row r="8" spans="1:12">
      <c r="A8" s="9"/>
      <c r="B8" s="9"/>
      <c r="C8" s="9"/>
      <c r="D8" s="9"/>
      <c r="E8" s="9"/>
      <c r="F8" s="9"/>
      <c r="G8" s="9"/>
      <c r="H8" s="9"/>
      <c r="I8" s="9"/>
      <c r="J8" s="9"/>
      <c r="K8" s="9"/>
      <c r="L8" s="9"/>
    </row>
    <row r="9" spans="1:12">
      <c r="A9" s="9" t="s">
        <v>192</v>
      </c>
      <c r="B9" s="9"/>
      <c r="C9" s="9"/>
      <c r="D9" s="9"/>
      <c r="E9" s="9"/>
      <c r="F9" s="9"/>
      <c r="G9" s="9"/>
      <c r="H9" s="9"/>
      <c r="I9" s="9"/>
      <c r="J9" s="9"/>
      <c r="K9" s="9"/>
      <c r="L9" s="9"/>
    </row>
    <row r="10" spans="1:12">
      <c r="A10" s="9"/>
      <c r="B10" s="9"/>
      <c r="C10" s="9"/>
      <c r="D10" s="9"/>
      <c r="E10" s="9"/>
      <c r="F10" s="9"/>
      <c r="G10" s="9"/>
      <c r="H10" s="9"/>
      <c r="I10" s="9"/>
      <c r="J10" s="9"/>
      <c r="K10" s="9"/>
      <c r="L10" s="9"/>
    </row>
    <row r="11" spans="1:12" ht="62.4">
      <c r="A11" s="9"/>
      <c r="B11" s="18" t="s">
        <v>34</v>
      </c>
      <c r="C11" s="18" t="s">
        <v>271</v>
      </c>
      <c r="D11" s="18" t="s">
        <v>193</v>
      </c>
      <c r="E11" s="18" t="s">
        <v>194</v>
      </c>
      <c r="F11" s="9"/>
      <c r="G11" s="9"/>
      <c r="H11" s="9"/>
      <c r="I11" s="9"/>
      <c r="J11" s="9"/>
      <c r="K11" s="9"/>
      <c r="L11" s="9"/>
    </row>
    <row r="12" spans="1:12">
      <c r="A12" s="9"/>
      <c r="B12" s="16">
        <v>2013</v>
      </c>
      <c r="C12" s="17">
        <v>29614</v>
      </c>
      <c r="D12" s="17">
        <v>15795</v>
      </c>
      <c r="E12" s="16">
        <v>1.0109999999999999</v>
      </c>
      <c r="F12" s="9"/>
      <c r="G12" s="9"/>
      <c r="H12" s="9"/>
      <c r="I12" s="9"/>
      <c r="J12" s="9"/>
      <c r="K12" s="9"/>
      <c r="L12" s="9"/>
    </row>
    <row r="13" spans="1:12">
      <c r="A13" s="9"/>
      <c r="B13" s="16">
        <v>2014</v>
      </c>
      <c r="C13" s="17">
        <v>27371</v>
      </c>
      <c r="D13" s="17">
        <v>14119</v>
      </c>
      <c r="E13" s="16">
        <v>1.028</v>
      </c>
      <c r="F13" s="9"/>
      <c r="G13" s="9"/>
      <c r="H13" s="9"/>
      <c r="I13" s="9"/>
      <c r="J13" s="9"/>
      <c r="K13" s="9"/>
      <c r="L13" s="9"/>
    </row>
    <row r="14" spans="1:12">
      <c r="A14" s="9"/>
      <c r="B14" s="16">
        <v>2015</v>
      </c>
      <c r="C14" s="17">
        <v>27077</v>
      </c>
      <c r="D14" s="17">
        <v>17998</v>
      </c>
      <c r="E14" s="16">
        <v>1.0489999999999999</v>
      </c>
      <c r="F14" s="9"/>
      <c r="G14" s="9"/>
      <c r="H14" s="9"/>
      <c r="I14" s="9"/>
      <c r="J14" s="9"/>
      <c r="K14" s="9"/>
      <c r="L14" s="9"/>
    </row>
    <row r="15" spans="1:12">
      <c r="A15" s="9"/>
      <c r="B15" s="16">
        <v>2016</v>
      </c>
      <c r="C15" s="17">
        <v>28792</v>
      </c>
      <c r="D15" s="17">
        <v>17630</v>
      </c>
      <c r="E15" s="42">
        <v>1.0900000000000001</v>
      </c>
      <c r="F15" s="9"/>
      <c r="G15" s="9"/>
      <c r="H15" s="9"/>
      <c r="I15" s="9"/>
      <c r="J15" s="9"/>
      <c r="K15" s="9"/>
      <c r="L15" s="9"/>
    </row>
    <row r="16" spans="1:12">
      <c r="A16" s="9"/>
      <c r="B16" s="16">
        <v>2017</v>
      </c>
      <c r="C16" s="17">
        <v>30307</v>
      </c>
      <c r="D16" s="17">
        <v>16178</v>
      </c>
      <c r="E16" s="16">
        <v>1.159</v>
      </c>
      <c r="F16" s="9"/>
      <c r="G16" s="9"/>
      <c r="H16" s="9"/>
      <c r="I16" s="9"/>
      <c r="J16" s="9"/>
      <c r="K16" s="9"/>
      <c r="L16" s="9"/>
    </row>
    <row r="17" spans="1:18">
      <c r="A17" s="9"/>
      <c r="B17" s="16">
        <v>2018</v>
      </c>
      <c r="C17" s="17">
        <v>29053</v>
      </c>
      <c r="D17" s="17">
        <v>15699</v>
      </c>
      <c r="E17" s="16">
        <v>1.3049999999999999</v>
      </c>
      <c r="F17" s="9"/>
      <c r="G17" s="9"/>
      <c r="H17" s="9"/>
      <c r="I17" s="9"/>
      <c r="J17" s="9"/>
      <c r="K17" s="9"/>
      <c r="L17" s="9"/>
    </row>
    <row r="18" spans="1:18">
      <c r="A18" s="9"/>
      <c r="B18" s="16">
        <v>2019</v>
      </c>
      <c r="C18" s="17">
        <v>26785</v>
      </c>
      <c r="D18" s="17">
        <v>14231</v>
      </c>
      <c r="E18" s="16">
        <v>1.7090000000000001</v>
      </c>
      <c r="F18" s="9"/>
      <c r="G18" s="9"/>
      <c r="H18" s="9"/>
      <c r="I18" s="9"/>
      <c r="J18" s="9"/>
      <c r="K18" s="9"/>
      <c r="L18" s="9"/>
    </row>
    <row r="19" spans="1:18">
      <c r="A19" s="9"/>
      <c r="B19" s="16">
        <v>2020</v>
      </c>
      <c r="C19" s="17">
        <v>25618</v>
      </c>
      <c r="D19" s="17">
        <v>7963</v>
      </c>
      <c r="E19" s="16">
        <v>2.399</v>
      </c>
      <c r="F19" s="9"/>
      <c r="G19" s="9"/>
      <c r="H19" s="9"/>
      <c r="I19" s="9"/>
      <c r="J19" s="9"/>
      <c r="K19" s="9"/>
      <c r="L19" s="9"/>
    </row>
    <row r="20" spans="1:18">
      <c r="A20" s="9"/>
      <c r="B20" s="16">
        <v>2021</v>
      </c>
      <c r="C20" s="17">
        <v>27616</v>
      </c>
      <c r="D20" s="17">
        <v>4910</v>
      </c>
      <c r="E20" s="16">
        <v>3.9990000000000001</v>
      </c>
      <c r="F20" s="9"/>
      <c r="G20" s="9"/>
      <c r="H20" s="9"/>
      <c r="I20" s="9"/>
      <c r="J20" s="9"/>
      <c r="K20" s="9"/>
      <c r="L20" s="9"/>
    </row>
    <row r="21" spans="1:18">
      <c r="A21" s="9"/>
      <c r="B21" s="35" t="s">
        <v>97</v>
      </c>
      <c r="C21" s="38">
        <f>SUM(C12:C20)</f>
        <v>252233</v>
      </c>
      <c r="D21" s="38">
        <f>SUM(D12:D20)</f>
        <v>124523</v>
      </c>
      <c r="E21" s="67"/>
      <c r="F21" s="9"/>
      <c r="G21" s="9"/>
      <c r="H21" s="9"/>
      <c r="I21" s="9"/>
      <c r="J21" s="9"/>
      <c r="K21" s="9"/>
      <c r="L21" s="9"/>
    </row>
    <row r="22" spans="1:18">
      <c r="A22" s="9"/>
      <c r="B22" s="9"/>
      <c r="C22" s="9"/>
      <c r="D22" s="9"/>
      <c r="E22" s="9"/>
      <c r="F22" s="9"/>
      <c r="G22" s="9"/>
      <c r="H22" s="9"/>
      <c r="I22" s="9"/>
      <c r="J22" s="9"/>
      <c r="K22" s="9"/>
      <c r="L22" s="9"/>
    </row>
    <row r="23" spans="1:18">
      <c r="A23" s="9"/>
      <c r="B23" s="32" t="s">
        <v>272</v>
      </c>
      <c r="C23" s="9"/>
      <c r="D23" s="9"/>
      <c r="E23" s="9"/>
      <c r="F23" s="9"/>
      <c r="G23" s="9"/>
      <c r="H23" s="9"/>
      <c r="I23" s="9"/>
      <c r="J23" s="9"/>
      <c r="K23" s="9"/>
      <c r="L23" s="9"/>
    </row>
    <row r="24" spans="1:18">
      <c r="A24" s="9"/>
      <c r="B24" s="32" t="s">
        <v>267</v>
      </c>
      <c r="C24" s="9"/>
      <c r="D24" s="48">
        <v>0.02</v>
      </c>
      <c r="E24" s="9"/>
      <c r="F24" s="9"/>
      <c r="G24" s="9"/>
      <c r="H24" s="9"/>
      <c r="I24" s="9"/>
      <c r="J24" s="9"/>
      <c r="K24" s="9"/>
      <c r="L24" s="9"/>
    </row>
    <row r="25" spans="1:18">
      <c r="A25" s="9"/>
      <c r="B25" s="32" t="s">
        <v>273</v>
      </c>
      <c r="C25" s="9"/>
      <c r="D25" s="51">
        <v>3000000</v>
      </c>
      <c r="E25" s="9" t="s">
        <v>201</v>
      </c>
      <c r="F25" s="9"/>
      <c r="G25" s="9"/>
      <c r="H25" s="9"/>
      <c r="I25" s="9"/>
      <c r="J25" s="9"/>
      <c r="K25" s="9"/>
      <c r="L25" s="9"/>
    </row>
    <row r="26" spans="1:18">
      <c r="A26" s="9"/>
      <c r="B26" s="32" t="s">
        <v>274</v>
      </c>
      <c r="C26" s="9"/>
      <c r="D26" s="9"/>
      <c r="E26" s="9"/>
      <c r="F26" s="9"/>
      <c r="G26" s="9"/>
      <c r="H26" s="9"/>
      <c r="I26" s="9"/>
      <c r="J26" s="9"/>
      <c r="K26" s="9"/>
      <c r="L26" s="9"/>
    </row>
    <row r="27" spans="1:18">
      <c r="A27" s="9"/>
      <c r="B27" s="9"/>
      <c r="C27" s="32" t="s">
        <v>275</v>
      </c>
      <c r="D27" s="48">
        <v>-0.02</v>
      </c>
      <c r="E27" s="9" t="s">
        <v>202</v>
      </c>
      <c r="F27" s="331">
        <v>42005</v>
      </c>
      <c r="G27" s="331"/>
      <c r="H27" s="9"/>
      <c r="I27" s="9"/>
      <c r="J27" s="9"/>
      <c r="K27" s="9"/>
      <c r="L27" s="9"/>
    </row>
    <row r="28" spans="1:18">
      <c r="A28" s="9"/>
      <c r="B28" s="9"/>
      <c r="C28" s="32" t="s">
        <v>275</v>
      </c>
      <c r="D28" s="69">
        <v>0.04</v>
      </c>
      <c r="E28" s="9" t="s">
        <v>202</v>
      </c>
      <c r="F28" s="331">
        <v>44378</v>
      </c>
      <c r="G28" s="331"/>
      <c r="H28" s="9"/>
      <c r="I28" s="9"/>
      <c r="J28" s="9"/>
      <c r="K28" s="9"/>
      <c r="L28" s="9"/>
    </row>
    <row r="29" spans="1:18">
      <c r="A29" s="9"/>
      <c r="B29" s="9"/>
      <c r="C29" s="9"/>
      <c r="D29" s="9"/>
      <c r="E29" s="9"/>
      <c r="F29" s="9"/>
      <c r="G29" s="9"/>
      <c r="H29" s="9"/>
      <c r="I29" s="9"/>
      <c r="J29" s="9"/>
      <c r="K29" s="9"/>
      <c r="L29" s="9"/>
    </row>
    <row r="30" spans="1:18">
      <c r="A30" s="7"/>
      <c r="B30" s="7"/>
      <c r="C30" s="7"/>
      <c r="D30" s="7"/>
      <c r="E30" s="7"/>
      <c r="F30" s="7"/>
      <c r="G30" s="7"/>
      <c r="H30" s="7"/>
      <c r="I30" s="7"/>
      <c r="J30" s="7"/>
      <c r="K30" s="7"/>
      <c r="L30" s="7"/>
    </row>
    <row r="31" spans="1:18">
      <c r="A31" s="6" t="s">
        <v>0</v>
      </c>
      <c r="B31" s="9" t="s">
        <v>203</v>
      </c>
      <c r="C31" s="4"/>
      <c r="D31" s="4"/>
      <c r="E31" s="4"/>
      <c r="F31" s="4"/>
      <c r="G31" s="4"/>
      <c r="H31" s="4"/>
      <c r="I31" s="4"/>
      <c r="J31" s="4"/>
      <c r="K31" s="4"/>
      <c r="L31" s="4"/>
      <c r="M31" s="8"/>
      <c r="N31" s="8"/>
      <c r="O31" s="8"/>
      <c r="P31" s="8"/>
      <c r="Q31" s="8"/>
      <c r="R31" s="8"/>
    </row>
    <row r="32" spans="1:18">
      <c r="A32" s="3"/>
      <c r="B32" s="3"/>
      <c r="C32" s="3"/>
      <c r="D32" s="3"/>
      <c r="E32" s="3"/>
      <c r="F32" s="3"/>
      <c r="G32" s="4"/>
      <c r="H32" s="4"/>
      <c r="I32" s="4"/>
      <c r="J32" s="4"/>
      <c r="K32" s="4"/>
      <c r="L32" s="4"/>
    </row>
    <row r="33" spans="1:14">
      <c r="A33" s="7"/>
      <c r="B33" s="7"/>
      <c r="C33" s="7"/>
      <c r="D33" s="7"/>
      <c r="E33" s="7"/>
      <c r="F33" s="7"/>
      <c r="G33" s="7"/>
      <c r="H33" s="7"/>
      <c r="I33" s="7"/>
      <c r="J33" s="7"/>
      <c r="K33" s="7"/>
      <c r="L33" s="7"/>
      <c r="M33" s="7"/>
    </row>
    <row r="34" spans="1:14">
      <c r="A34" s="7" t="s">
        <v>1</v>
      </c>
      <c r="B34" s="7"/>
      <c r="C34" s="7"/>
      <c r="D34" s="7"/>
      <c r="E34" s="7"/>
      <c r="F34" s="7"/>
      <c r="G34" s="7"/>
      <c r="H34" s="7"/>
      <c r="I34" s="7"/>
      <c r="J34" s="7"/>
      <c r="K34" s="7"/>
      <c r="L34" s="7"/>
      <c r="M34" s="7"/>
      <c r="N34" s="8"/>
    </row>
    <row r="35" spans="1:14" ht="46.8">
      <c r="B35" s="248" t="s">
        <v>479</v>
      </c>
      <c r="C35" s="183" t="str">
        <f t="shared" ref="C35:C44" si="0">C11</f>
        <v>Earned Premiums
(000)</v>
      </c>
      <c r="D35" s="248" t="s">
        <v>480</v>
      </c>
      <c r="E35" s="248" t="s">
        <v>481</v>
      </c>
      <c r="F35" s="248" t="s">
        <v>482</v>
      </c>
      <c r="G35" s="248" t="s">
        <v>483</v>
      </c>
      <c r="M35" s="8"/>
      <c r="N35" s="8"/>
    </row>
    <row r="36" spans="1:14">
      <c r="B36" s="205">
        <f t="shared" ref="B36:B43" si="1">B37-1</f>
        <v>2013</v>
      </c>
      <c r="C36" s="184">
        <f t="shared" si="0"/>
        <v>29614</v>
      </c>
      <c r="D36" s="235">
        <v>1</v>
      </c>
      <c r="E36" s="249">
        <f t="shared" ref="E36:E44" si="2">$D$44/D36</f>
        <v>0.98489999999999989</v>
      </c>
      <c r="F36" s="250">
        <f t="shared" ref="F36:F44" si="3">C36*E36</f>
        <v>29166.828599999997</v>
      </c>
      <c r="G36" s="251">
        <f t="shared" ref="G36:G44" si="4">E12</f>
        <v>1.0109999999999999</v>
      </c>
      <c r="M36" s="8"/>
      <c r="N36" s="8"/>
    </row>
    <row r="37" spans="1:14">
      <c r="B37" s="205">
        <f t="shared" si="1"/>
        <v>2014</v>
      </c>
      <c r="C37" s="184">
        <f t="shared" si="0"/>
        <v>27371</v>
      </c>
      <c r="D37" s="235">
        <v>1</v>
      </c>
      <c r="E37" s="249">
        <f t="shared" si="2"/>
        <v>0.98489999999999989</v>
      </c>
      <c r="F37" s="250">
        <f t="shared" si="3"/>
        <v>26957.697899999996</v>
      </c>
      <c r="G37" s="251">
        <f t="shared" si="4"/>
        <v>1.028</v>
      </c>
      <c r="M37" s="8"/>
      <c r="N37" s="8"/>
    </row>
    <row r="38" spans="1:14">
      <c r="B38" s="205">
        <f t="shared" si="1"/>
        <v>2015</v>
      </c>
      <c r="C38" s="184">
        <f t="shared" si="0"/>
        <v>27077</v>
      </c>
      <c r="D38" s="235">
        <f>0.5*1+0.5*0.98</f>
        <v>0.99</v>
      </c>
      <c r="E38" s="249">
        <f t="shared" si="2"/>
        <v>0.99484848484848476</v>
      </c>
      <c r="F38" s="250">
        <f t="shared" si="3"/>
        <v>26937.512424242421</v>
      </c>
      <c r="G38" s="251">
        <f t="shared" si="4"/>
        <v>1.0489999999999999</v>
      </c>
      <c r="M38" s="8"/>
      <c r="N38" s="8"/>
    </row>
    <row r="39" spans="1:14">
      <c r="B39" s="205">
        <f t="shared" si="1"/>
        <v>2016</v>
      </c>
      <c r="C39" s="184">
        <f t="shared" si="0"/>
        <v>28792</v>
      </c>
      <c r="D39" s="235">
        <v>0.98</v>
      </c>
      <c r="E39" s="249">
        <f t="shared" si="2"/>
        <v>1.0049999999999999</v>
      </c>
      <c r="F39" s="250">
        <f t="shared" si="3"/>
        <v>28935.959999999995</v>
      </c>
      <c r="G39" s="251">
        <f t="shared" si="4"/>
        <v>1.0900000000000001</v>
      </c>
      <c r="M39" s="8"/>
      <c r="N39" s="8"/>
    </row>
    <row r="40" spans="1:14">
      <c r="B40" s="205">
        <f t="shared" si="1"/>
        <v>2017</v>
      </c>
      <c r="C40" s="184">
        <f t="shared" si="0"/>
        <v>30307</v>
      </c>
      <c r="D40" s="235">
        <v>0.98</v>
      </c>
      <c r="E40" s="249">
        <f t="shared" si="2"/>
        <v>1.0049999999999999</v>
      </c>
      <c r="F40" s="250">
        <f t="shared" si="3"/>
        <v>30458.534999999996</v>
      </c>
      <c r="G40" s="251">
        <f t="shared" si="4"/>
        <v>1.159</v>
      </c>
      <c r="M40" s="8"/>
      <c r="N40" s="8"/>
    </row>
    <row r="41" spans="1:14">
      <c r="B41" s="205">
        <f t="shared" si="1"/>
        <v>2018</v>
      </c>
      <c r="C41" s="184">
        <f t="shared" si="0"/>
        <v>29053</v>
      </c>
      <c r="D41" s="235">
        <v>0.98</v>
      </c>
      <c r="E41" s="249">
        <f t="shared" si="2"/>
        <v>1.0049999999999999</v>
      </c>
      <c r="F41" s="250">
        <f t="shared" si="3"/>
        <v>29198.264999999996</v>
      </c>
      <c r="G41" s="251">
        <f t="shared" si="4"/>
        <v>1.3049999999999999</v>
      </c>
      <c r="M41" s="8"/>
      <c r="N41" s="8"/>
    </row>
    <row r="42" spans="1:14">
      <c r="B42" s="205">
        <f t="shared" si="1"/>
        <v>2019</v>
      </c>
      <c r="C42" s="184">
        <f t="shared" si="0"/>
        <v>26785</v>
      </c>
      <c r="D42" s="235">
        <v>0.98</v>
      </c>
      <c r="E42" s="249">
        <f t="shared" si="2"/>
        <v>1.0049999999999999</v>
      </c>
      <c r="F42" s="250">
        <f t="shared" si="3"/>
        <v>26918.924999999996</v>
      </c>
      <c r="G42" s="251">
        <f t="shared" si="4"/>
        <v>1.7090000000000001</v>
      </c>
      <c r="M42" s="8"/>
      <c r="N42" s="8"/>
    </row>
    <row r="43" spans="1:14">
      <c r="B43" s="205">
        <f t="shared" si="1"/>
        <v>2020</v>
      </c>
      <c r="C43" s="184">
        <f t="shared" si="0"/>
        <v>25618</v>
      </c>
      <c r="D43" s="235">
        <v>0.98</v>
      </c>
      <c r="E43" s="249">
        <f t="shared" si="2"/>
        <v>1.0049999999999999</v>
      </c>
      <c r="F43" s="250">
        <f t="shared" si="3"/>
        <v>25746.089999999997</v>
      </c>
      <c r="G43" s="251">
        <f t="shared" si="4"/>
        <v>2.399</v>
      </c>
      <c r="M43" s="8"/>
      <c r="N43" s="8"/>
    </row>
    <row r="44" spans="1:14">
      <c r="B44" s="236">
        <v>2021</v>
      </c>
      <c r="C44" s="185">
        <f t="shared" si="0"/>
        <v>27616</v>
      </c>
      <c r="D44" s="237">
        <f>D43*(7/8)+(0.98*1.04)/8</f>
        <v>0.98489999999999989</v>
      </c>
      <c r="E44" s="252">
        <f t="shared" si="2"/>
        <v>1</v>
      </c>
      <c r="F44" s="253">
        <f t="shared" si="3"/>
        <v>27616</v>
      </c>
      <c r="G44" s="254">
        <f t="shared" si="4"/>
        <v>3.9990000000000001</v>
      </c>
      <c r="M44" s="8"/>
      <c r="N44" s="8"/>
    </row>
    <row r="45" spans="1:14">
      <c r="B45" s="205" t="s">
        <v>97</v>
      </c>
      <c r="C45" s="184">
        <f>SUM(C36:C44)</f>
        <v>252233</v>
      </c>
      <c r="E45" s="250"/>
      <c r="F45" s="255">
        <f>SUM(F36:F44)</f>
        <v>251935.81392424236</v>
      </c>
      <c r="M45" s="8"/>
      <c r="N45" s="8"/>
    </row>
    <row r="46" spans="1:14">
      <c r="B46" s="256"/>
      <c r="C46" s="257"/>
      <c r="D46" s="257"/>
      <c r="E46" s="258"/>
      <c r="F46" s="258"/>
      <c r="G46" s="259"/>
      <c r="M46" s="8"/>
      <c r="N46" s="8"/>
    </row>
    <row r="47" spans="1:14" ht="46.8">
      <c r="B47" s="248" t="s">
        <v>353</v>
      </c>
      <c r="C47" s="248" t="s">
        <v>484</v>
      </c>
      <c r="D47" s="248" t="s">
        <v>485</v>
      </c>
      <c r="E47" s="183" t="s">
        <v>486</v>
      </c>
      <c r="F47" s="248" t="s">
        <v>487</v>
      </c>
      <c r="G47" s="248" t="s">
        <v>488</v>
      </c>
      <c r="M47" s="8"/>
      <c r="N47" s="8"/>
    </row>
    <row r="48" spans="1:14">
      <c r="B48" s="205">
        <f t="shared" ref="B48:B55" si="5">B49-1</f>
        <v>2013</v>
      </c>
      <c r="C48" s="260">
        <f t="shared" ref="C48:C56" si="6">1/G36</f>
        <v>0.98911968348170143</v>
      </c>
      <c r="D48" s="255">
        <f t="shared" ref="D48:D56" si="7">F36*C48</f>
        <v>28849.484272997033</v>
      </c>
      <c r="E48" s="184">
        <f t="shared" ref="E48:E53" si="8">D12</f>
        <v>15795</v>
      </c>
      <c r="F48" s="251">
        <f t="shared" ref="F48:F54" si="9">F49*(1+$D$24)</f>
        <v>1.1716593810022657</v>
      </c>
      <c r="G48" s="250">
        <f t="shared" ref="G48:G56" si="10">E48*F48</f>
        <v>18506.359922930787</v>
      </c>
      <c r="M48" s="8"/>
      <c r="N48" s="8"/>
    </row>
    <row r="49" spans="1:14">
      <c r="B49" s="205">
        <f t="shared" si="5"/>
        <v>2014</v>
      </c>
      <c r="C49" s="260">
        <f t="shared" si="6"/>
        <v>0.97276264591439687</v>
      </c>
      <c r="D49" s="255">
        <f t="shared" si="7"/>
        <v>26223.441536964976</v>
      </c>
      <c r="E49" s="184">
        <f t="shared" si="8"/>
        <v>14119</v>
      </c>
      <c r="F49" s="251">
        <f t="shared" si="9"/>
        <v>1.14868566764928</v>
      </c>
      <c r="G49" s="250">
        <f t="shared" si="10"/>
        <v>16218.292941540185</v>
      </c>
      <c r="M49" s="8"/>
      <c r="N49" s="8"/>
    </row>
    <row r="50" spans="1:14">
      <c r="B50" s="205">
        <f t="shared" si="5"/>
        <v>2015</v>
      </c>
      <c r="C50" s="260">
        <f t="shared" si="6"/>
        <v>0.95328884652049573</v>
      </c>
      <c r="D50" s="255">
        <f t="shared" si="7"/>
        <v>25679.230147037579</v>
      </c>
      <c r="E50" s="184">
        <f t="shared" si="8"/>
        <v>17998</v>
      </c>
      <c r="F50" s="251">
        <f t="shared" si="9"/>
        <v>1.1261624192640001</v>
      </c>
      <c r="G50" s="250">
        <f t="shared" si="10"/>
        <v>20268.671221913472</v>
      </c>
      <c r="M50" s="8"/>
      <c r="N50" s="8"/>
    </row>
    <row r="51" spans="1:14">
      <c r="B51" s="205">
        <f t="shared" si="5"/>
        <v>2016</v>
      </c>
      <c r="C51" s="260">
        <f t="shared" si="6"/>
        <v>0.9174311926605504</v>
      </c>
      <c r="D51" s="255">
        <f t="shared" si="7"/>
        <v>26546.752293577974</v>
      </c>
      <c r="E51" s="184">
        <f t="shared" si="8"/>
        <v>17630</v>
      </c>
      <c r="F51" s="251">
        <f t="shared" si="9"/>
        <v>1.1040808032</v>
      </c>
      <c r="G51" s="250">
        <f t="shared" si="10"/>
        <v>19464.944560415999</v>
      </c>
      <c r="M51" s="8"/>
      <c r="N51" s="8"/>
    </row>
    <row r="52" spans="1:14">
      <c r="B52" s="205">
        <f t="shared" si="5"/>
        <v>2017</v>
      </c>
      <c r="C52" s="260">
        <f t="shared" si="6"/>
        <v>0.86281276962899045</v>
      </c>
      <c r="D52" s="255">
        <f t="shared" si="7"/>
        <v>26280.012942191541</v>
      </c>
      <c r="E52" s="184">
        <f t="shared" si="8"/>
        <v>16178</v>
      </c>
      <c r="F52" s="251">
        <f t="shared" si="9"/>
        <v>1.08243216</v>
      </c>
      <c r="G52" s="250">
        <f t="shared" si="10"/>
        <v>17511.587484479998</v>
      </c>
      <c r="M52" s="8"/>
      <c r="N52" s="8"/>
    </row>
    <row r="53" spans="1:14">
      <c r="B53" s="205">
        <f t="shared" si="5"/>
        <v>2018</v>
      </c>
      <c r="C53" s="260">
        <f t="shared" si="6"/>
        <v>0.76628352490421459</v>
      </c>
      <c r="D53" s="255">
        <f t="shared" si="7"/>
        <v>22374.149425287353</v>
      </c>
      <c r="E53" s="184">
        <f t="shared" si="8"/>
        <v>15699</v>
      </c>
      <c r="F53" s="251">
        <f t="shared" si="9"/>
        <v>1.0612079999999999</v>
      </c>
      <c r="G53" s="250">
        <f t="shared" si="10"/>
        <v>16659.904392</v>
      </c>
      <c r="M53" s="8"/>
      <c r="N53" s="8"/>
    </row>
    <row r="54" spans="1:14">
      <c r="B54" s="205">
        <f t="shared" si="5"/>
        <v>2019</v>
      </c>
      <c r="C54" s="260">
        <f t="shared" si="6"/>
        <v>0.58513750731421876</v>
      </c>
      <c r="D54" s="255">
        <f t="shared" si="7"/>
        <v>15751.272674078404</v>
      </c>
      <c r="E54" s="261">
        <f>D18-3000</f>
        <v>11231</v>
      </c>
      <c r="F54" s="251">
        <f t="shared" si="9"/>
        <v>1.0404</v>
      </c>
      <c r="G54" s="250">
        <f t="shared" si="10"/>
        <v>11684.732400000001</v>
      </c>
      <c r="M54" s="8"/>
      <c r="N54" s="8"/>
    </row>
    <row r="55" spans="1:14">
      <c r="B55" s="205">
        <f t="shared" si="5"/>
        <v>2020</v>
      </c>
      <c r="C55" s="260">
        <f t="shared" si="6"/>
        <v>0.4168403501458941</v>
      </c>
      <c r="D55" s="255">
        <f t="shared" si="7"/>
        <v>10732.009170487701</v>
      </c>
      <c r="E55" s="184">
        <f>D19</f>
        <v>7963</v>
      </c>
      <c r="F55" s="251">
        <f>F56*(1+$D$24)</f>
        <v>1.02</v>
      </c>
      <c r="G55" s="250">
        <f t="shared" si="10"/>
        <v>8122.26</v>
      </c>
      <c r="M55" s="8"/>
      <c r="N55" s="8"/>
    </row>
    <row r="56" spans="1:14">
      <c r="B56" s="236">
        <v>2021</v>
      </c>
      <c r="C56" s="262">
        <f t="shared" si="6"/>
        <v>0.25006251562890724</v>
      </c>
      <c r="D56" s="263">
        <f t="shared" si="7"/>
        <v>6905.7264316079027</v>
      </c>
      <c r="E56" s="185">
        <f>D20</f>
        <v>4910</v>
      </c>
      <c r="F56" s="254">
        <v>1</v>
      </c>
      <c r="G56" s="253">
        <f t="shared" si="10"/>
        <v>4910</v>
      </c>
      <c r="M56" s="8"/>
      <c r="N56" s="8"/>
    </row>
    <row r="57" spans="1:14">
      <c r="B57" s="256"/>
      <c r="C57" s="251"/>
      <c r="D57" s="255">
        <f>SUM(D48:D56)</f>
        <v>189342.07889423048</v>
      </c>
      <c r="E57" s="184">
        <f>SUM(E48:E56)</f>
        <v>121523</v>
      </c>
      <c r="F57" s="251"/>
      <c r="G57" s="255">
        <f>SUM(G48:G56)</f>
        <v>133346.75292328047</v>
      </c>
      <c r="M57" s="8"/>
      <c r="N57" s="8"/>
    </row>
    <row r="58" spans="1:14">
      <c r="B58" s="94"/>
      <c r="C58" s="94"/>
      <c r="D58" s="94"/>
      <c r="E58" s="94"/>
      <c r="F58" s="94"/>
      <c r="G58" s="94"/>
      <c r="H58" s="94"/>
      <c r="I58" s="94"/>
      <c r="M58" s="8"/>
      <c r="N58" s="8"/>
    </row>
    <row r="59" spans="1:14">
      <c r="B59" s="290" t="s">
        <v>554</v>
      </c>
      <c r="C59" s="94"/>
      <c r="D59" s="94"/>
      <c r="E59" s="94"/>
      <c r="F59" s="94"/>
      <c r="G59" s="94"/>
      <c r="H59" s="94"/>
      <c r="I59" s="94"/>
      <c r="M59" s="8"/>
      <c r="N59" s="8"/>
    </row>
    <row r="60" spans="1:14">
      <c r="B60" s="94"/>
      <c r="C60" s="94"/>
      <c r="D60" s="94"/>
      <c r="E60" s="94"/>
      <c r="F60" s="94"/>
      <c r="G60" s="94"/>
      <c r="H60" s="94"/>
      <c r="I60" s="94"/>
      <c r="M60" s="8"/>
      <c r="N60" s="8"/>
    </row>
    <row r="61" spans="1:14">
      <c r="B61" s="140" t="s">
        <v>495</v>
      </c>
      <c r="C61" s="94"/>
      <c r="D61" s="260">
        <f>G57/D57</f>
        <v>0.70426369934265964</v>
      </c>
      <c r="F61" s="94"/>
      <c r="G61" s="94"/>
      <c r="H61" s="94"/>
      <c r="I61" s="94"/>
      <c r="M61" s="8"/>
      <c r="N61" s="8"/>
    </row>
    <row r="63" spans="1:14">
      <c r="A63" s="6" t="s">
        <v>2</v>
      </c>
      <c r="B63" s="9" t="s">
        <v>204</v>
      </c>
      <c r="C63" s="4"/>
      <c r="D63" s="4"/>
      <c r="E63" s="4"/>
      <c r="F63" s="4"/>
      <c r="G63" s="4"/>
      <c r="H63" s="4"/>
      <c r="I63" s="4"/>
      <c r="J63" s="4"/>
      <c r="K63" s="4"/>
      <c r="L63" s="4"/>
    </row>
    <row r="64" spans="1:14">
      <c r="A64" s="3"/>
      <c r="B64" s="3"/>
      <c r="C64" s="3"/>
      <c r="D64" s="3"/>
      <c r="E64" s="3"/>
      <c r="F64" s="3"/>
      <c r="G64" s="4"/>
      <c r="H64" s="4"/>
      <c r="I64" s="4"/>
      <c r="J64" s="4"/>
      <c r="K64" s="4"/>
      <c r="L64" s="4"/>
    </row>
    <row r="65" spans="1:13">
      <c r="A65" s="7"/>
      <c r="B65" s="7"/>
      <c r="C65" s="7"/>
      <c r="D65" s="7"/>
      <c r="E65" s="7"/>
      <c r="F65" s="7"/>
      <c r="G65" s="7"/>
      <c r="H65" s="7"/>
      <c r="I65" s="7"/>
      <c r="J65" s="7"/>
      <c r="K65" s="7"/>
      <c r="L65" s="7"/>
    </row>
    <row r="66" spans="1:13">
      <c r="A66" s="7" t="s">
        <v>1</v>
      </c>
      <c r="B66" s="7"/>
      <c r="C66" s="7"/>
      <c r="D66" s="7"/>
      <c r="E66" s="7"/>
      <c r="F66" s="7"/>
      <c r="G66" s="7"/>
      <c r="H66" s="7"/>
      <c r="I66" s="7"/>
      <c r="J66" s="7"/>
      <c r="K66" s="7"/>
      <c r="L66" s="7"/>
    </row>
    <row r="67" spans="1:13" ht="31.2">
      <c r="A67" s="7"/>
      <c r="B67" s="127" t="s">
        <v>353</v>
      </c>
      <c r="C67" s="127" t="s">
        <v>489</v>
      </c>
      <c r="D67" s="127" t="s">
        <v>490</v>
      </c>
      <c r="E67" s="127" t="s">
        <v>491</v>
      </c>
      <c r="F67" s="127" t="s">
        <v>492</v>
      </c>
      <c r="G67" s="7"/>
      <c r="H67" s="7"/>
      <c r="I67" s="7"/>
      <c r="J67" s="7"/>
      <c r="K67" s="7"/>
      <c r="L67" s="7"/>
    </row>
    <row r="68" spans="1:13">
      <c r="A68" s="7"/>
      <c r="B68" s="132">
        <f t="shared" ref="B68:B75" si="11">B69-1</f>
        <v>2013</v>
      </c>
      <c r="C68" s="131">
        <f t="shared" ref="C68:C76" si="12">($D$61*F36)/F48</f>
        <v>17531.664015149094</v>
      </c>
      <c r="D68" s="133">
        <f t="shared" ref="D68:D76" si="13">1-C48</f>
        <v>1.0880316518298572E-2</v>
      </c>
      <c r="E68" s="131">
        <f t="shared" ref="E68:E76" si="14">C68*D68</f>
        <v>190.75005357728733</v>
      </c>
      <c r="F68" s="131">
        <f t="shared" ref="F68:F76" si="15">E68+D12</f>
        <v>15985.750053577287</v>
      </c>
      <c r="G68" s="7"/>
      <c r="H68" s="7"/>
      <c r="I68" s="7"/>
      <c r="J68" s="7"/>
      <c r="K68" s="7"/>
      <c r="L68" s="7"/>
    </row>
    <row r="69" spans="1:13">
      <c r="A69" s="7"/>
      <c r="B69" s="132">
        <f t="shared" si="11"/>
        <v>2014</v>
      </c>
      <c r="C69" s="131">
        <f t="shared" si="12"/>
        <v>16527.87057722087</v>
      </c>
      <c r="D69" s="133">
        <f t="shared" si="13"/>
        <v>2.7237354085603127E-2</v>
      </c>
      <c r="E69" s="131">
        <f t="shared" si="14"/>
        <v>450.17546319278659</v>
      </c>
      <c r="F69" s="131">
        <f t="shared" si="15"/>
        <v>14569.175463192787</v>
      </c>
      <c r="G69" s="7"/>
      <c r="H69" s="7"/>
      <c r="I69" s="7"/>
      <c r="J69" s="7"/>
      <c r="K69" s="7"/>
      <c r="L69" s="7"/>
    </row>
    <row r="70" spans="1:13">
      <c r="A70" s="7"/>
      <c r="B70" s="132">
        <f t="shared" si="11"/>
        <v>2015</v>
      </c>
      <c r="C70" s="131">
        <f t="shared" si="12"/>
        <v>16845.804678320143</v>
      </c>
      <c r="D70" s="133">
        <f t="shared" si="13"/>
        <v>4.6711153479504275E-2</v>
      </c>
      <c r="E70" s="131">
        <f t="shared" si="14"/>
        <v>786.88696781476335</v>
      </c>
      <c r="F70" s="131">
        <f t="shared" si="15"/>
        <v>18784.886967814764</v>
      </c>
      <c r="G70" s="7"/>
      <c r="H70" s="7"/>
      <c r="I70" s="7"/>
      <c r="J70" s="7"/>
      <c r="K70" s="7"/>
      <c r="L70" s="7"/>
    </row>
    <row r="71" spans="1:13">
      <c r="A71" s="7"/>
      <c r="B71" s="132">
        <f t="shared" si="11"/>
        <v>2016</v>
      </c>
      <c r="C71" s="131">
        <f t="shared" si="12"/>
        <v>18457.477183343191</v>
      </c>
      <c r="D71" s="133">
        <f t="shared" si="13"/>
        <v>8.2568807339449601E-2</v>
      </c>
      <c r="E71" s="131">
        <f t="shared" si="14"/>
        <v>1524.0118775237509</v>
      </c>
      <c r="F71" s="131">
        <f t="shared" si="15"/>
        <v>19154.01187752375</v>
      </c>
      <c r="G71" s="7"/>
      <c r="H71" s="7"/>
      <c r="I71" s="7"/>
      <c r="J71" s="7"/>
      <c r="K71" s="7"/>
      <c r="L71" s="7"/>
    </row>
    <row r="72" spans="1:13">
      <c r="A72" s="7"/>
      <c r="B72" s="132">
        <f t="shared" si="11"/>
        <v>2017</v>
      </c>
      <c r="C72" s="131">
        <f t="shared" si="12"/>
        <v>19817.26091329167</v>
      </c>
      <c r="D72" s="133">
        <f t="shared" si="13"/>
        <v>0.13718723037100955</v>
      </c>
      <c r="E72" s="131">
        <f t="shared" si="14"/>
        <v>2718.6751382341472</v>
      </c>
      <c r="F72" s="131">
        <f t="shared" si="15"/>
        <v>18896.675138234146</v>
      </c>
      <c r="G72" s="7"/>
      <c r="H72" s="7"/>
      <c r="I72" s="7"/>
      <c r="J72" s="7"/>
      <c r="K72" s="7"/>
      <c r="L72" s="7"/>
    </row>
    <row r="73" spans="1:13">
      <c r="A73" s="7"/>
      <c r="B73" s="132">
        <f t="shared" si="11"/>
        <v>2018</v>
      </c>
      <c r="C73" s="131">
        <f t="shared" si="12"/>
        <v>19377.236247076256</v>
      </c>
      <c r="D73" s="133">
        <f t="shared" si="13"/>
        <v>0.23371647509578541</v>
      </c>
      <c r="E73" s="131">
        <f t="shared" si="14"/>
        <v>4528.7793527649483</v>
      </c>
      <c r="F73" s="131">
        <f t="shared" si="15"/>
        <v>20227.779352764948</v>
      </c>
      <c r="G73" s="7"/>
      <c r="H73" s="7"/>
      <c r="I73" s="7"/>
      <c r="J73" s="7"/>
      <c r="K73" s="7"/>
      <c r="L73" s="7"/>
    </row>
    <row r="74" spans="1:13">
      <c r="A74" s="7"/>
      <c r="B74" s="132">
        <f t="shared" si="11"/>
        <v>2019</v>
      </c>
      <c r="C74" s="131">
        <f t="shared" si="12"/>
        <v>18221.858614790082</v>
      </c>
      <c r="D74" s="133">
        <f t="shared" si="13"/>
        <v>0.41486249268578124</v>
      </c>
      <c r="E74" s="131">
        <f t="shared" si="14"/>
        <v>7559.5656862996902</v>
      </c>
      <c r="F74" s="131">
        <f t="shared" si="15"/>
        <v>21790.565686299691</v>
      </c>
      <c r="G74" s="7"/>
      <c r="H74" s="7"/>
      <c r="I74" s="7"/>
      <c r="J74" s="7"/>
      <c r="K74" s="7"/>
      <c r="L74" s="7"/>
    </row>
    <row r="75" spans="1:13">
      <c r="B75" s="132">
        <f t="shared" si="11"/>
        <v>2020</v>
      </c>
      <c r="C75" s="131">
        <f t="shared" si="12"/>
        <v>17776.506457852014</v>
      </c>
      <c r="D75" s="133">
        <f t="shared" si="13"/>
        <v>0.58315964985410584</v>
      </c>
      <c r="E75" s="131">
        <f t="shared" si="14"/>
        <v>10366.541281590233</v>
      </c>
      <c r="F75" s="131">
        <f t="shared" si="15"/>
        <v>18329.541281590231</v>
      </c>
      <c r="M75" s="7"/>
    </row>
    <row r="76" spans="1:13">
      <c r="B76" s="128">
        <v>2021</v>
      </c>
      <c r="C76" s="166">
        <f t="shared" si="12"/>
        <v>19448.946321046889</v>
      </c>
      <c r="D76" s="135">
        <f t="shared" si="13"/>
        <v>0.74993748437109276</v>
      </c>
      <c r="E76" s="166">
        <f t="shared" si="14"/>
        <v>14585.493877674324</v>
      </c>
      <c r="F76" s="166">
        <f t="shared" si="15"/>
        <v>19495.493877674322</v>
      </c>
      <c r="M76" s="7"/>
    </row>
    <row r="77" spans="1:13">
      <c r="B77" s="132"/>
      <c r="C77" s="245">
        <f>SUM(C68:C76)</f>
        <v>164004.6250080902</v>
      </c>
      <c r="D77" s="198"/>
      <c r="E77" s="245">
        <f>SUM(E68:E76)</f>
        <v>42710.879698671932</v>
      </c>
      <c r="F77" s="245">
        <f>SUM(F68:F76)</f>
        <v>167233.87969867192</v>
      </c>
      <c r="M77" s="7"/>
    </row>
    <row r="79" spans="1:13">
      <c r="A79" s="6" t="s">
        <v>3</v>
      </c>
      <c r="B79" s="9" t="s">
        <v>205</v>
      </c>
      <c r="C79" s="4"/>
      <c r="D79" s="4"/>
      <c r="E79" s="4"/>
      <c r="F79" s="4"/>
      <c r="G79" s="4"/>
      <c r="H79" s="4"/>
      <c r="I79" s="4"/>
      <c r="J79" s="4"/>
      <c r="K79" s="4"/>
      <c r="L79" s="4"/>
    </row>
    <row r="80" spans="1:13">
      <c r="A80" s="3"/>
      <c r="B80" s="30" t="s">
        <v>276</v>
      </c>
      <c r="C80" s="70">
        <v>0.8</v>
      </c>
      <c r="D80" s="3"/>
      <c r="E80" s="3"/>
      <c r="F80" s="3"/>
      <c r="G80" s="4"/>
      <c r="H80" s="4"/>
      <c r="I80" s="4"/>
      <c r="J80" s="4"/>
      <c r="K80" s="4"/>
      <c r="L80" s="4"/>
    </row>
    <row r="81" spans="1:12">
      <c r="A81" s="7"/>
      <c r="B81" s="7"/>
      <c r="C81" s="7"/>
      <c r="D81" s="7"/>
      <c r="E81" s="7"/>
      <c r="F81" s="7"/>
      <c r="G81" s="7"/>
      <c r="H81" s="7"/>
      <c r="I81" s="7"/>
      <c r="J81" s="7"/>
      <c r="K81" s="7"/>
      <c r="L81" s="7"/>
    </row>
    <row r="82" spans="1:12">
      <c r="A82" s="7" t="s">
        <v>1</v>
      </c>
      <c r="B82" s="7"/>
      <c r="C82" s="7"/>
      <c r="D82" s="7"/>
      <c r="E82" s="7"/>
      <c r="F82" s="7"/>
      <c r="G82" s="7"/>
      <c r="H82" s="7"/>
      <c r="I82" s="7"/>
      <c r="J82" s="7"/>
      <c r="K82" s="7"/>
      <c r="L82" s="7"/>
    </row>
    <row r="83" spans="1:12" ht="31.2">
      <c r="B83" s="127" t="s">
        <v>353</v>
      </c>
      <c r="C83" s="127" t="s">
        <v>485</v>
      </c>
      <c r="D83" s="127" t="s">
        <v>488</v>
      </c>
      <c r="E83" s="127" t="s">
        <v>493</v>
      </c>
      <c r="F83" s="127" t="s">
        <v>494</v>
      </c>
      <c r="G83" s="93"/>
      <c r="H83" s="93"/>
      <c r="I83" s="93"/>
    </row>
    <row r="84" spans="1:12">
      <c r="B84" s="132">
        <f t="shared" ref="B84:B91" si="16">B85-1</f>
        <v>2013</v>
      </c>
      <c r="C84" s="131">
        <f t="shared" ref="C84:C92" si="17">D48</f>
        <v>28849.484272997033</v>
      </c>
      <c r="D84" s="131">
        <f t="shared" ref="D84:D92" si="18">G48</f>
        <v>18506.359922930787</v>
      </c>
      <c r="E84" s="133">
        <f>D84/C84</f>
        <v>0.64147974874728153</v>
      </c>
      <c r="F84" s="133">
        <f t="shared" ref="F84:F90" si="19">F85*$C$80</f>
        <v>0.16777216000000009</v>
      </c>
      <c r="G84" s="93"/>
      <c r="H84" s="93"/>
      <c r="I84" s="93"/>
    </row>
    <row r="85" spans="1:12">
      <c r="B85" s="132">
        <f t="shared" si="16"/>
        <v>2014</v>
      </c>
      <c r="C85" s="131">
        <f t="shared" si="17"/>
        <v>26223.441536964976</v>
      </c>
      <c r="D85" s="131">
        <f t="shared" si="18"/>
        <v>16218.292941540185</v>
      </c>
      <c r="E85" s="133">
        <f t="shared" ref="E85:E92" si="20">D85/C85</f>
        <v>0.61846546414125791</v>
      </c>
      <c r="F85" s="133">
        <f t="shared" si="19"/>
        <v>0.2097152000000001</v>
      </c>
      <c r="G85" s="93"/>
      <c r="H85" s="93"/>
      <c r="I85" s="93"/>
    </row>
    <row r="86" spans="1:12">
      <c r="B86" s="132">
        <f t="shared" si="16"/>
        <v>2015</v>
      </c>
      <c r="C86" s="131">
        <f t="shared" si="17"/>
        <v>25679.230147037579</v>
      </c>
      <c r="D86" s="131">
        <f t="shared" si="18"/>
        <v>20268.671221913472</v>
      </c>
      <c r="E86" s="133">
        <f t="shared" si="20"/>
        <v>0.78930213662389392</v>
      </c>
      <c r="F86" s="133">
        <f t="shared" si="19"/>
        <v>0.2621440000000001</v>
      </c>
      <c r="G86" s="93"/>
      <c r="H86" s="93"/>
      <c r="I86" s="93"/>
    </row>
    <row r="87" spans="1:12">
      <c r="B87" s="132">
        <f t="shared" si="16"/>
        <v>2016</v>
      </c>
      <c r="C87" s="131">
        <f t="shared" si="17"/>
        <v>26546.752293577974</v>
      </c>
      <c r="D87" s="131">
        <f t="shared" si="18"/>
        <v>19464.944560415999</v>
      </c>
      <c r="E87" s="133">
        <f t="shared" si="20"/>
        <v>0.73323261335906753</v>
      </c>
      <c r="F87" s="133">
        <f t="shared" si="19"/>
        <v>0.32768000000000014</v>
      </c>
      <c r="G87" s="93"/>
      <c r="H87" s="93"/>
      <c r="I87" s="93"/>
    </row>
    <row r="88" spans="1:12">
      <c r="B88" s="132">
        <f t="shared" si="16"/>
        <v>2017</v>
      </c>
      <c r="C88" s="131">
        <f t="shared" si="17"/>
        <v>26280.012942191541</v>
      </c>
      <c r="D88" s="131">
        <f t="shared" si="18"/>
        <v>17511.587484479998</v>
      </c>
      <c r="E88" s="133">
        <f t="shared" si="20"/>
        <v>0.66634622756847373</v>
      </c>
      <c r="F88" s="133">
        <f t="shared" si="19"/>
        <v>0.40960000000000013</v>
      </c>
      <c r="G88" s="93"/>
      <c r="H88" s="93"/>
      <c r="I88" s="93"/>
    </row>
    <row r="89" spans="1:12">
      <c r="B89" s="132">
        <f t="shared" si="16"/>
        <v>2018</v>
      </c>
      <c r="C89" s="131">
        <f t="shared" si="17"/>
        <v>22374.149425287353</v>
      </c>
      <c r="D89" s="131">
        <f t="shared" si="18"/>
        <v>16659.904392</v>
      </c>
      <c r="E89" s="133">
        <f t="shared" si="20"/>
        <v>0.74460503840074077</v>
      </c>
      <c r="F89" s="133">
        <f t="shared" si="19"/>
        <v>0.51200000000000012</v>
      </c>
      <c r="G89" s="93"/>
      <c r="H89" s="93"/>
      <c r="I89" s="93"/>
    </row>
    <row r="90" spans="1:12">
      <c r="B90" s="132">
        <f t="shared" si="16"/>
        <v>2019</v>
      </c>
      <c r="C90" s="131">
        <f t="shared" si="17"/>
        <v>15751.272674078404</v>
      </c>
      <c r="D90" s="131">
        <f t="shared" si="18"/>
        <v>11684.732400000001</v>
      </c>
      <c r="E90" s="133">
        <f t="shared" si="20"/>
        <v>0.74182782825094273</v>
      </c>
      <c r="F90" s="133">
        <f t="shared" si="19"/>
        <v>0.64000000000000012</v>
      </c>
      <c r="G90" s="93"/>
      <c r="H90" s="93"/>
      <c r="I90" s="93"/>
    </row>
    <row r="91" spans="1:12">
      <c r="B91" s="132">
        <f t="shared" si="16"/>
        <v>2020</v>
      </c>
      <c r="C91" s="131">
        <f t="shared" si="17"/>
        <v>10732.009170487701</v>
      </c>
      <c r="D91" s="131">
        <f t="shared" si="18"/>
        <v>8122.26</v>
      </c>
      <c r="E91" s="133">
        <f t="shared" si="20"/>
        <v>0.75682566712071631</v>
      </c>
      <c r="F91" s="133">
        <f>F92*$C$80</f>
        <v>0.8</v>
      </c>
      <c r="G91" s="93"/>
      <c r="H91" s="93"/>
      <c r="I91" s="93"/>
    </row>
    <row r="92" spans="1:12">
      <c r="B92" s="128">
        <v>2021</v>
      </c>
      <c r="C92" s="166">
        <f t="shared" si="17"/>
        <v>6905.7264316079027</v>
      </c>
      <c r="D92" s="166">
        <f t="shared" si="18"/>
        <v>4910</v>
      </c>
      <c r="E92" s="135">
        <f t="shared" si="20"/>
        <v>0.71100412804171487</v>
      </c>
      <c r="F92" s="135">
        <v>1</v>
      </c>
      <c r="G92" s="93"/>
      <c r="H92" s="93"/>
      <c r="I92" s="93"/>
    </row>
    <row r="93" spans="1:12">
      <c r="B93" s="93"/>
      <c r="C93" s="230">
        <f>SUM(C84:C92)</f>
        <v>189342.07889423048</v>
      </c>
      <c r="D93" s="230">
        <f>SUM(D84:D92)</f>
        <v>133346.75292328047</v>
      </c>
      <c r="E93" s="230"/>
      <c r="F93" s="230"/>
      <c r="G93" s="230"/>
      <c r="H93" s="93"/>
      <c r="I93" s="93"/>
    </row>
    <row r="94" spans="1:12">
      <c r="B94" s="93"/>
      <c r="C94" s="230"/>
      <c r="D94" s="230"/>
      <c r="E94" s="230"/>
      <c r="F94" s="230"/>
      <c r="G94" s="230"/>
      <c r="H94" s="93"/>
      <c r="I94" s="93"/>
    </row>
    <row r="95" spans="1:12">
      <c r="B95" s="93" t="s">
        <v>496</v>
      </c>
      <c r="C95" s="245"/>
      <c r="D95" s="247">
        <f>SUMPRODUCT(C84:C92,E84:E92,F84:F92)/SUMPRODUCT(C84:C92,F84:F92)</f>
        <v>0.71757487337313741</v>
      </c>
      <c r="E95" s="246"/>
      <c r="F95" s="246"/>
      <c r="H95" s="93"/>
      <c r="I95" s="93"/>
    </row>
    <row r="96" spans="1:12">
      <c r="B96" s="93" t="s">
        <v>497</v>
      </c>
      <c r="C96" s="245"/>
      <c r="D96" s="131">
        <f>D95*C20*D76+D20</f>
        <v>19771.171933361995</v>
      </c>
      <c r="E96" s="246"/>
      <c r="F96" s="246"/>
      <c r="H96" s="93"/>
      <c r="I96" s="93"/>
    </row>
    <row r="97" spans="2:9">
      <c r="B97" s="93"/>
      <c r="C97" s="93"/>
      <c r="D97" s="93"/>
      <c r="E97" s="93"/>
      <c r="F97" s="93"/>
      <c r="G97" s="93"/>
      <c r="H97" s="93"/>
      <c r="I97" s="93"/>
    </row>
    <row r="98" spans="2:9">
      <c r="B98" s="93"/>
      <c r="C98" s="93"/>
      <c r="D98" s="93"/>
      <c r="E98" s="93"/>
      <c r="F98" s="93"/>
      <c r="G98" s="93"/>
      <c r="H98" s="93"/>
      <c r="I98" s="93"/>
    </row>
  </sheetData>
  <mergeCells count="2">
    <mergeCell ref="F27:G27"/>
    <mergeCell ref="F28:G28"/>
  </mergeCells>
  <pageMargins left="0.7" right="0.7" top="0.75" bottom="0.75" header="0.3" footer="0.3"/>
  <pageSetup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66B5C-E68C-48BF-9421-4F38F9DD4076}">
  <dimension ref="A1:R61"/>
  <sheetViews>
    <sheetView zoomScaleNormal="100" workbookViewId="0"/>
  </sheetViews>
  <sheetFormatPr defaultColWidth="8.88671875" defaultRowHeight="15.6"/>
  <cols>
    <col min="1" max="2" width="8.88671875" style="1" customWidth="1"/>
    <col min="3" max="12" width="12.6640625" style="1" customWidth="1"/>
    <col min="13" max="16384" width="8.88671875" style="1"/>
  </cols>
  <sheetData>
    <row r="1" spans="1:12" ht="17.399999999999999">
      <c r="A1" s="2" t="s">
        <v>206</v>
      </c>
      <c r="B1" s="4"/>
      <c r="C1" s="9" t="s">
        <v>11</v>
      </c>
      <c r="D1" s="4"/>
      <c r="E1" s="4"/>
      <c r="F1" s="4"/>
      <c r="G1" s="4"/>
      <c r="H1" s="4"/>
      <c r="I1" s="4"/>
      <c r="J1" s="4"/>
      <c r="K1" s="4"/>
      <c r="L1" s="3"/>
    </row>
    <row r="2" spans="1:12">
      <c r="A2" s="4"/>
      <c r="B2" s="4"/>
      <c r="C2" s="4"/>
      <c r="D2" s="4"/>
      <c r="E2" s="4"/>
      <c r="F2" s="4"/>
      <c r="G2" s="4"/>
      <c r="H2" s="4"/>
      <c r="I2" s="4"/>
      <c r="J2" s="4"/>
      <c r="K2" s="4"/>
      <c r="L2" s="3"/>
    </row>
    <row r="3" spans="1:12">
      <c r="A3" s="9" t="s">
        <v>207</v>
      </c>
      <c r="B3" s="12"/>
      <c r="C3" s="12"/>
      <c r="D3" s="12"/>
      <c r="E3" s="12"/>
      <c r="F3" s="12"/>
      <c r="G3" s="12"/>
      <c r="H3" s="12"/>
      <c r="I3" s="12"/>
      <c r="J3" s="12"/>
      <c r="K3" s="4"/>
      <c r="L3" s="3"/>
    </row>
    <row r="4" spans="1:12" s="11" customFormat="1">
      <c r="A4" s="13"/>
      <c r="B4" s="12"/>
      <c r="C4" s="12"/>
      <c r="D4" s="12"/>
      <c r="E4" s="12"/>
      <c r="F4" s="12"/>
      <c r="G4" s="12"/>
      <c r="H4" s="10"/>
      <c r="I4" s="10"/>
      <c r="J4" s="10"/>
      <c r="K4" s="10"/>
      <c r="L4" s="10"/>
    </row>
    <row r="5" spans="1:12" s="11" customFormat="1">
      <c r="A5" s="13"/>
      <c r="B5" s="297" t="s">
        <v>208</v>
      </c>
      <c r="C5" s="291" t="s">
        <v>209</v>
      </c>
      <c r="D5" s="291"/>
      <c r="E5" s="291" t="s">
        <v>210</v>
      </c>
      <c r="F5" s="291"/>
      <c r="G5" s="291"/>
      <c r="H5" s="291"/>
      <c r="I5" s="291"/>
      <c r="J5" s="10"/>
      <c r="K5" s="10"/>
      <c r="L5" s="10"/>
    </row>
    <row r="6" spans="1:12" s="11" customFormat="1" ht="31.2">
      <c r="A6" s="13"/>
      <c r="B6" s="297"/>
      <c r="C6" s="15" t="s">
        <v>211</v>
      </c>
      <c r="D6" s="15" t="s">
        <v>212</v>
      </c>
      <c r="E6" s="15">
        <v>2017</v>
      </c>
      <c r="F6" s="15">
        <v>2018</v>
      </c>
      <c r="G6" s="15">
        <v>2019</v>
      </c>
      <c r="H6" s="15">
        <v>2020</v>
      </c>
      <c r="I6" s="15">
        <v>2021</v>
      </c>
      <c r="J6" s="10"/>
      <c r="K6" s="10"/>
      <c r="L6" s="10"/>
    </row>
    <row r="7" spans="1:12" s="11" customFormat="1">
      <c r="A7" s="13"/>
      <c r="B7" s="16">
        <v>1</v>
      </c>
      <c r="C7" s="42">
        <v>0.93</v>
      </c>
      <c r="D7" s="42">
        <v>0.93400000000000005</v>
      </c>
      <c r="E7" s="17">
        <v>4605</v>
      </c>
      <c r="F7" s="17">
        <v>4406</v>
      </c>
      <c r="G7" s="17">
        <v>4165</v>
      </c>
      <c r="H7" s="17">
        <v>3888</v>
      </c>
      <c r="I7" s="17">
        <v>3782</v>
      </c>
      <c r="J7" s="10"/>
      <c r="K7" s="10"/>
      <c r="L7" s="10"/>
    </row>
    <row r="8" spans="1:12" s="11" customFormat="1">
      <c r="A8" s="12"/>
      <c r="B8" s="16">
        <v>2</v>
      </c>
      <c r="C8" s="42">
        <v>0.95199999999999996</v>
      </c>
      <c r="D8" s="42">
        <v>0.95199999999999996</v>
      </c>
      <c r="E8" s="17">
        <v>4974</v>
      </c>
      <c r="F8" s="17">
        <v>4956</v>
      </c>
      <c r="G8" s="17">
        <v>4889</v>
      </c>
      <c r="H8" s="17">
        <v>4772</v>
      </c>
      <c r="I8" s="17">
        <v>4683</v>
      </c>
      <c r="J8" s="10"/>
      <c r="K8" s="10"/>
      <c r="L8" s="10"/>
    </row>
    <row r="9" spans="1:12" s="11" customFormat="1">
      <c r="A9" s="12"/>
      <c r="B9" s="16">
        <v>3</v>
      </c>
      <c r="C9" s="42">
        <v>0.97599999999999998</v>
      </c>
      <c r="D9" s="42">
        <v>0.97599999999999998</v>
      </c>
      <c r="E9" s="17">
        <v>4421</v>
      </c>
      <c r="F9" s="17">
        <v>4222</v>
      </c>
      <c r="G9" s="17">
        <v>4527</v>
      </c>
      <c r="H9" s="17">
        <v>4772</v>
      </c>
      <c r="I9" s="17">
        <v>5404</v>
      </c>
      <c r="J9" s="10"/>
      <c r="K9" s="10"/>
      <c r="L9" s="10"/>
    </row>
    <row r="10" spans="1:12" s="11" customFormat="1">
      <c r="A10" s="13"/>
      <c r="B10" s="16">
        <v>4</v>
      </c>
      <c r="C10" s="42">
        <v>1</v>
      </c>
      <c r="D10" s="42">
        <v>1</v>
      </c>
      <c r="E10" s="17">
        <v>3500</v>
      </c>
      <c r="F10" s="17">
        <v>3488</v>
      </c>
      <c r="G10" s="17">
        <v>3803</v>
      </c>
      <c r="H10" s="17">
        <v>4242</v>
      </c>
      <c r="I10" s="17">
        <v>5043</v>
      </c>
      <c r="J10" s="10"/>
      <c r="K10" s="10"/>
      <c r="L10" s="10"/>
    </row>
    <row r="11" spans="1:12" s="11" customFormat="1">
      <c r="A11" s="12"/>
      <c r="B11" s="16">
        <v>5</v>
      </c>
      <c r="C11" s="42">
        <v>1.024</v>
      </c>
      <c r="D11" s="42">
        <v>1.0249999999999999</v>
      </c>
      <c r="E11" s="17">
        <v>2947</v>
      </c>
      <c r="F11" s="17">
        <v>3121</v>
      </c>
      <c r="G11" s="17">
        <v>3259</v>
      </c>
      <c r="H11" s="17">
        <v>3535</v>
      </c>
      <c r="I11" s="17">
        <v>3963</v>
      </c>
      <c r="J11" s="10"/>
      <c r="K11" s="10"/>
      <c r="L11" s="10"/>
    </row>
    <row r="12" spans="1:12" s="11" customFormat="1">
      <c r="A12" s="12"/>
      <c r="B12" s="16">
        <v>6</v>
      </c>
      <c r="C12" s="42">
        <v>1.048</v>
      </c>
      <c r="D12" s="42">
        <v>1.052</v>
      </c>
      <c r="E12" s="17">
        <v>2026</v>
      </c>
      <c r="F12" s="17">
        <v>2754</v>
      </c>
      <c r="G12" s="17">
        <v>2897</v>
      </c>
      <c r="H12" s="17">
        <v>3181</v>
      </c>
      <c r="I12" s="17">
        <v>3422</v>
      </c>
      <c r="J12" s="10"/>
      <c r="K12" s="10"/>
      <c r="L12" s="10"/>
    </row>
    <row r="13" spans="1:12">
      <c r="A13" s="12"/>
      <c r="B13" s="16">
        <v>7</v>
      </c>
      <c r="C13" s="42">
        <v>1.0720000000000001</v>
      </c>
      <c r="D13" s="42">
        <v>1.08</v>
      </c>
      <c r="E13" s="17">
        <v>1289</v>
      </c>
      <c r="F13" s="17">
        <v>1836</v>
      </c>
      <c r="G13" s="17">
        <v>1992</v>
      </c>
      <c r="H13" s="17">
        <v>2297</v>
      </c>
      <c r="I13" s="17">
        <v>2702</v>
      </c>
      <c r="J13" s="9"/>
      <c r="K13" s="9"/>
      <c r="L13" s="9"/>
    </row>
    <row r="14" spans="1:12">
      <c r="A14" s="12"/>
      <c r="B14" s="16">
        <v>8</v>
      </c>
      <c r="C14" s="42">
        <v>1.0920000000000001</v>
      </c>
      <c r="D14" s="42">
        <v>1.105</v>
      </c>
      <c r="E14" s="16">
        <v>737</v>
      </c>
      <c r="F14" s="16">
        <v>918</v>
      </c>
      <c r="G14" s="17">
        <v>1268</v>
      </c>
      <c r="H14" s="17">
        <v>1414</v>
      </c>
      <c r="I14" s="17">
        <v>1801</v>
      </c>
      <c r="J14" s="9"/>
      <c r="K14" s="9"/>
      <c r="L14" s="9"/>
    </row>
    <row r="15" spans="1:12">
      <c r="A15" s="9"/>
      <c r="B15" s="35" t="s">
        <v>97</v>
      </c>
      <c r="C15" s="35"/>
      <c r="D15" s="35"/>
      <c r="E15" s="38">
        <f>SUM(E7:E14)</f>
        <v>24499</v>
      </c>
      <c r="F15" s="38">
        <f t="shared" ref="F15:I15" si="0">SUM(F7:F14)</f>
        <v>25701</v>
      </c>
      <c r="G15" s="38">
        <f t="shared" si="0"/>
        <v>26800</v>
      </c>
      <c r="H15" s="38">
        <f t="shared" si="0"/>
        <v>28101</v>
      </c>
      <c r="I15" s="38">
        <f t="shared" si="0"/>
        <v>30800</v>
      </c>
      <c r="J15" s="9"/>
      <c r="K15" s="9"/>
      <c r="L15" s="9"/>
    </row>
    <row r="16" spans="1:12">
      <c r="A16" s="9"/>
      <c r="B16" s="9"/>
      <c r="C16" s="9"/>
      <c r="D16" s="9"/>
      <c r="E16" s="9"/>
      <c r="F16" s="9"/>
      <c r="G16" s="9"/>
      <c r="H16" s="9"/>
      <c r="I16" s="9"/>
      <c r="J16" s="9"/>
      <c r="K16" s="9"/>
      <c r="L16" s="9"/>
    </row>
    <row r="17" spans="1:18">
      <c r="A17" s="9"/>
      <c r="B17" s="32" t="s">
        <v>277</v>
      </c>
      <c r="C17" s="9"/>
      <c r="D17" s="9"/>
      <c r="E17" s="9"/>
      <c r="F17" s="9"/>
      <c r="G17" s="52">
        <v>25256000</v>
      </c>
      <c r="H17" s="9"/>
      <c r="I17" s="9"/>
      <c r="J17" s="9"/>
      <c r="K17" s="9"/>
      <c r="L17" s="9"/>
    </row>
    <row r="18" spans="1:18">
      <c r="A18" s="9"/>
      <c r="B18" s="32" t="s">
        <v>278</v>
      </c>
      <c r="C18" s="9"/>
      <c r="D18" s="9"/>
      <c r="E18" s="9"/>
      <c r="F18" s="9"/>
      <c r="G18" s="9"/>
      <c r="H18" s="9"/>
      <c r="I18" s="9"/>
      <c r="J18" s="9"/>
      <c r="K18" s="9"/>
      <c r="L18" s="9"/>
    </row>
    <row r="19" spans="1:18">
      <c r="A19" s="9"/>
      <c r="B19" s="32" t="s">
        <v>279</v>
      </c>
      <c r="C19" s="9"/>
      <c r="D19" s="9"/>
      <c r="E19" s="9"/>
      <c r="F19" s="9"/>
      <c r="G19" s="9"/>
      <c r="H19" s="9"/>
      <c r="I19" s="9"/>
      <c r="J19" s="9"/>
      <c r="K19" s="9"/>
      <c r="L19" s="9"/>
    </row>
    <row r="20" spans="1:18">
      <c r="A20" s="9"/>
      <c r="B20" s="32" t="s">
        <v>280</v>
      </c>
      <c r="C20" s="9"/>
      <c r="D20" s="9"/>
      <c r="E20" s="9"/>
      <c r="F20" s="9"/>
      <c r="G20" s="9"/>
      <c r="H20" s="9"/>
      <c r="I20" s="9"/>
      <c r="J20" s="9"/>
      <c r="K20" s="9"/>
      <c r="L20" s="9"/>
    </row>
    <row r="21" spans="1:18">
      <c r="A21" s="9"/>
      <c r="B21" s="9"/>
      <c r="C21" s="9"/>
      <c r="D21" s="9"/>
      <c r="E21" s="9"/>
      <c r="F21" s="9"/>
      <c r="G21" s="9"/>
      <c r="H21" s="9"/>
      <c r="I21" s="9"/>
      <c r="J21" s="9"/>
      <c r="K21" s="9"/>
      <c r="L21" s="9"/>
    </row>
    <row r="22" spans="1:18">
      <c r="A22" s="7"/>
      <c r="B22" s="7"/>
      <c r="C22" s="7"/>
      <c r="D22" s="7"/>
      <c r="E22" s="7"/>
      <c r="F22" s="7"/>
      <c r="G22" s="7"/>
      <c r="H22" s="7"/>
      <c r="I22" s="7"/>
      <c r="J22" s="7"/>
      <c r="K22" s="7"/>
      <c r="L22" s="7"/>
    </row>
    <row r="23" spans="1:18">
      <c r="A23" s="6" t="s">
        <v>4</v>
      </c>
      <c r="B23" s="9" t="s">
        <v>213</v>
      </c>
      <c r="C23" s="4"/>
      <c r="D23" s="4"/>
      <c r="E23" s="4"/>
      <c r="F23" s="4"/>
      <c r="G23" s="4"/>
      <c r="H23" s="4"/>
      <c r="I23" s="4"/>
      <c r="J23" s="4"/>
      <c r="K23" s="4"/>
      <c r="L23" s="4"/>
      <c r="M23" s="8"/>
      <c r="N23" s="8"/>
      <c r="O23" s="8"/>
      <c r="P23" s="8"/>
      <c r="Q23" s="8"/>
      <c r="R23" s="8"/>
    </row>
    <row r="24" spans="1:18">
      <c r="A24" s="3"/>
      <c r="B24" s="3"/>
      <c r="C24" s="3"/>
      <c r="D24" s="3"/>
      <c r="E24" s="3"/>
      <c r="F24" s="3"/>
      <c r="G24" s="4"/>
      <c r="H24" s="4"/>
      <c r="I24" s="4"/>
      <c r="J24" s="4"/>
      <c r="K24" s="4"/>
      <c r="L24" s="4"/>
    </row>
    <row r="25" spans="1:18">
      <c r="A25" s="7"/>
      <c r="B25" s="7"/>
      <c r="C25" s="7"/>
      <c r="D25" s="7"/>
      <c r="E25" s="7"/>
      <c r="F25" s="7"/>
      <c r="G25" s="7"/>
      <c r="H25" s="7"/>
      <c r="I25" s="7"/>
      <c r="J25" s="7"/>
      <c r="K25" s="7"/>
      <c r="L25" s="7"/>
      <c r="M25" s="7"/>
    </row>
    <row r="26" spans="1:18">
      <c r="A26" s="7" t="s">
        <v>1</v>
      </c>
      <c r="B26" s="7"/>
      <c r="C26" s="7"/>
      <c r="D26" s="7"/>
      <c r="E26" s="7"/>
      <c r="F26" s="7"/>
      <c r="G26" s="7"/>
      <c r="H26" s="7"/>
      <c r="I26" s="7"/>
      <c r="J26" s="7"/>
      <c r="K26" s="7"/>
      <c r="L26" s="7"/>
      <c r="M26" s="7"/>
      <c r="N26" s="8"/>
    </row>
    <row r="27" spans="1:18">
      <c r="A27" s="7"/>
      <c r="B27" s="93" t="str">
        <f>"Weighted average differentials using rates "&amp;C6</f>
        <v>Weighted average differentials using rates Prior to July 1, 2021</v>
      </c>
      <c r="C27" s="93"/>
      <c r="D27" s="93"/>
      <c r="E27" s="93"/>
      <c r="G27" s="265">
        <f>SUMPRODUCT(C7:C14,I7:I14)/I15</f>
        <v>1.0000124675324675</v>
      </c>
      <c r="H27" s="7"/>
      <c r="I27" s="7"/>
      <c r="J27" s="7"/>
      <c r="K27" s="7"/>
      <c r="L27" s="7"/>
      <c r="M27" s="7"/>
      <c r="N27" s="8"/>
    </row>
    <row r="28" spans="1:18">
      <c r="A28" s="7"/>
      <c r="B28" s="93" t="str">
        <f>"Weighted average differentials using rates "&amp;D6</f>
        <v>Weighted average differentials using rates Effective July 1, 2021</v>
      </c>
      <c r="C28" s="93"/>
      <c r="D28" s="93"/>
      <c r="E28" s="93"/>
      <c r="G28" s="265">
        <f>SUMPRODUCT(D7:D14,I7:I14)/I15</f>
        <v>1.0025387012987013</v>
      </c>
      <c r="H28" s="7"/>
      <c r="I28" s="7"/>
      <c r="J28" s="7"/>
      <c r="K28" s="7"/>
      <c r="L28" s="7"/>
      <c r="M28" s="7"/>
      <c r="N28" s="8"/>
    </row>
    <row r="29" spans="1:18">
      <c r="B29" s="93"/>
      <c r="C29" s="93"/>
      <c r="D29" s="93"/>
      <c r="E29" s="93"/>
      <c r="F29" s="93"/>
      <c r="M29" s="8"/>
      <c r="N29" s="8"/>
    </row>
    <row r="30" spans="1:18">
      <c r="B30" s="93" t="s">
        <v>498</v>
      </c>
      <c r="C30" s="93"/>
      <c r="D30" s="93"/>
      <c r="E30" s="93"/>
      <c r="F30" s="93"/>
      <c r="G30" s="264">
        <f>G28/G27-1</f>
        <v>2.5262022707248644E-3</v>
      </c>
      <c r="M30" s="8"/>
      <c r="N30" s="8"/>
    </row>
    <row r="32" spans="1:18">
      <c r="A32" s="6" t="s">
        <v>5</v>
      </c>
      <c r="B32" s="9" t="s">
        <v>214</v>
      </c>
      <c r="C32" s="4"/>
      <c r="D32" s="4"/>
      <c r="E32" s="4"/>
      <c r="F32" s="4"/>
      <c r="G32" s="4"/>
      <c r="H32" s="4"/>
      <c r="I32" s="4"/>
      <c r="J32" s="4"/>
      <c r="K32" s="4"/>
      <c r="L32" s="4"/>
    </row>
    <row r="33" spans="1:13">
      <c r="A33" s="3"/>
      <c r="B33" s="3"/>
      <c r="C33" s="3"/>
      <c r="D33" s="3"/>
      <c r="E33" s="3"/>
      <c r="F33" s="3"/>
      <c r="G33" s="4"/>
      <c r="H33" s="4"/>
      <c r="I33" s="4"/>
      <c r="J33" s="4"/>
      <c r="K33" s="4"/>
      <c r="L33" s="4"/>
    </row>
    <row r="34" spans="1:13">
      <c r="A34" s="7"/>
      <c r="B34" s="7"/>
      <c r="C34" s="7"/>
      <c r="D34" s="7"/>
      <c r="E34" s="7"/>
      <c r="F34" s="7"/>
      <c r="G34" s="7"/>
      <c r="H34" s="7"/>
      <c r="I34" s="7"/>
      <c r="J34" s="7"/>
      <c r="K34" s="7"/>
      <c r="L34" s="7"/>
    </row>
    <row r="35" spans="1:13">
      <c r="A35" s="7" t="s">
        <v>1</v>
      </c>
      <c r="B35" s="7"/>
      <c r="C35" s="7"/>
      <c r="D35" s="7"/>
      <c r="E35" s="7"/>
      <c r="F35" s="7"/>
      <c r="G35" s="7"/>
      <c r="H35" s="7"/>
      <c r="I35" s="7"/>
      <c r="J35" s="7"/>
      <c r="K35" s="7"/>
      <c r="L35" s="7"/>
    </row>
    <row r="36" spans="1:13">
      <c r="B36" s="214"/>
      <c r="C36" s="214"/>
      <c r="D36" s="214"/>
      <c r="E36" s="222">
        <v>2017</v>
      </c>
      <c r="F36" s="222">
        <v>2018</v>
      </c>
      <c r="G36" s="222">
        <v>2019</v>
      </c>
      <c r="H36" s="222">
        <v>2020</v>
      </c>
      <c r="I36" s="222">
        <v>2021</v>
      </c>
      <c r="M36" s="7"/>
    </row>
    <row r="37" spans="1:13">
      <c r="B37" s="93" t="s">
        <v>500</v>
      </c>
      <c r="C37" s="93"/>
      <c r="D37" s="93"/>
      <c r="E37" s="266">
        <f>SUMPRODUCT($D$7:$D$14,E7:E14)/E15</f>
        <v>0.98819323237683154</v>
      </c>
      <c r="F37" s="266">
        <f>SUMPRODUCT($D$7:$D$14,F7:F14)/F15</f>
        <v>0.9935602116649157</v>
      </c>
      <c r="G37" s="266">
        <f>SUMPRODUCT($D$7:$D$14,G7:G14)/G15</f>
        <v>0.99650779850746263</v>
      </c>
      <c r="H37" s="266">
        <f>SUMPRODUCT($D$7:$D$14,H7:H14)/H15</f>
        <v>0.99949556955268481</v>
      </c>
      <c r="I37" s="266">
        <f>SUMPRODUCT($D$7:$D$14,I7:I14)/I15</f>
        <v>1.0025387012987013</v>
      </c>
    </row>
    <row r="38" spans="1:13">
      <c r="B38" s="233" t="s">
        <v>501</v>
      </c>
      <c r="C38" s="93"/>
      <c r="D38" s="93"/>
      <c r="E38" s="93"/>
    </row>
    <row r="39" spans="1:13">
      <c r="B39" s="93" t="s">
        <v>502</v>
      </c>
      <c r="C39" s="93"/>
      <c r="D39" s="93"/>
      <c r="E39" s="93"/>
      <c r="F39" s="234">
        <f>F37/E37-1</f>
        <v>5.4311030598492849E-3</v>
      </c>
      <c r="G39" s="234">
        <f>G37/F37-1</f>
        <v>2.9666917092097123E-3</v>
      </c>
      <c r="H39" s="234">
        <f>H37/G37-1</f>
        <v>2.9982415086937664E-3</v>
      </c>
      <c r="I39" s="234">
        <f>I37/H37-1</f>
        <v>3.0446675690403158E-3</v>
      </c>
    </row>
    <row r="40" spans="1:13">
      <c r="B40" s="93"/>
      <c r="C40" s="93"/>
      <c r="D40" s="93"/>
      <c r="F40" s="93"/>
      <c r="G40" s="93"/>
      <c r="H40" s="93"/>
      <c r="I40" s="93"/>
    </row>
    <row r="41" spans="1:13">
      <c r="B41" s="93" t="s">
        <v>499</v>
      </c>
      <c r="C41" s="93"/>
      <c r="D41" s="93"/>
      <c r="E41" s="175">
        <v>3.0032002623145981E-3</v>
      </c>
      <c r="G41" s="93"/>
      <c r="H41" s="93"/>
      <c r="I41" s="93"/>
    </row>
    <row r="42" spans="1:13">
      <c r="B42" s="1" t="s">
        <v>503</v>
      </c>
    </row>
    <row r="45" spans="1:13">
      <c r="A45" s="6" t="s">
        <v>0</v>
      </c>
      <c r="B45" s="9" t="s">
        <v>215</v>
      </c>
      <c r="C45" s="4"/>
      <c r="D45" s="4"/>
      <c r="E45" s="4"/>
      <c r="F45" s="4"/>
      <c r="G45" s="4"/>
      <c r="H45" s="4"/>
      <c r="I45" s="4"/>
      <c r="J45" s="4"/>
      <c r="K45" s="4"/>
      <c r="L45" s="4"/>
    </row>
    <row r="46" spans="1:13">
      <c r="A46" s="3"/>
      <c r="B46" s="3"/>
      <c r="C46" s="3"/>
      <c r="D46" s="3"/>
      <c r="E46" s="3"/>
      <c r="F46" s="3"/>
      <c r="G46" s="4"/>
      <c r="H46" s="4"/>
      <c r="I46" s="4"/>
      <c r="J46" s="4"/>
      <c r="K46" s="4"/>
      <c r="L46" s="4"/>
    </row>
    <row r="47" spans="1:13">
      <c r="A47" s="7"/>
      <c r="B47" s="7"/>
      <c r="C47" s="7"/>
      <c r="D47" s="7"/>
      <c r="E47" s="7"/>
      <c r="F47" s="7"/>
      <c r="G47" s="7"/>
      <c r="H47" s="7"/>
      <c r="I47" s="7"/>
      <c r="J47" s="7"/>
      <c r="K47" s="7"/>
      <c r="L47" s="7"/>
    </row>
    <row r="48" spans="1:13">
      <c r="A48" s="7" t="s">
        <v>1</v>
      </c>
      <c r="B48" s="7"/>
      <c r="C48" s="7"/>
      <c r="D48" s="7"/>
      <c r="E48" s="7"/>
      <c r="F48" s="7"/>
      <c r="G48" s="7"/>
      <c r="H48" s="7"/>
      <c r="I48" s="7"/>
      <c r="J48" s="7"/>
      <c r="K48" s="7"/>
      <c r="L48" s="7"/>
    </row>
    <row r="49" spans="2:14">
      <c r="M49" s="7"/>
      <c r="N49" s="7"/>
    </row>
    <row r="50" spans="2:14">
      <c r="B50" s="93" t="s">
        <v>504</v>
      </c>
      <c r="D50" s="111">
        <v>44835</v>
      </c>
      <c r="E50" s="143" t="s">
        <v>505</v>
      </c>
      <c r="F50" s="143">
        <v>1</v>
      </c>
      <c r="G50" s="93" t="s">
        <v>506</v>
      </c>
      <c r="M50" s="7"/>
      <c r="N50" s="7"/>
    </row>
    <row r="51" spans="2:14">
      <c r="B51" s="93" t="s">
        <v>507</v>
      </c>
      <c r="C51" s="93"/>
      <c r="D51" s="93"/>
      <c r="F51" s="267">
        <f>2/3</f>
        <v>0.66666666666666663</v>
      </c>
      <c r="G51" s="93"/>
    </row>
    <row r="52" spans="2:14">
      <c r="B52" s="93" t="s">
        <v>508</v>
      </c>
      <c r="C52" s="93"/>
      <c r="D52" s="93"/>
      <c r="F52" s="267">
        <f>1-F51</f>
        <v>0.33333333333333337</v>
      </c>
      <c r="G52" s="93"/>
    </row>
    <row r="53" spans="2:14">
      <c r="B53" s="93"/>
      <c r="C53" s="93"/>
      <c r="D53" s="93"/>
      <c r="E53" s="93"/>
      <c r="F53" s="93"/>
      <c r="G53" s="93"/>
    </row>
    <row r="54" spans="2:14">
      <c r="B54" s="93" t="s">
        <v>509</v>
      </c>
      <c r="C54" s="93"/>
      <c r="D54" s="93"/>
      <c r="E54" s="93"/>
      <c r="F54" s="129"/>
      <c r="H54" s="111">
        <f>DATE(YEAR(D50)+1,MONTH(D50),DAY(D50))</f>
        <v>45200</v>
      </c>
    </row>
    <row r="55" spans="2:14">
      <c r="B55" s="93" t="s">
        <v>512</v>
      </c>
      <c r="C55" s="93"/>
      <c r="D55" s="93"/>
      <c r="E55" s="93"/>
      <c r="F55" s="93"/>
      <c r="H55" s="93">
        <f>(12*YEAR(H54)+MONTH(H54))-(12*2021+7)</f>
        <v>27</v>
      </c>
    </row>
    <row r="56" spans="2:14">
      <c r="B56" s="93" t="s">
        <v>510</v>
      </c>
      <c r="C56" s="93"/>
      <c r="D56" s="93"/>
      <c r="E56" s="93"/>
      <c r="F56" s="129"/>
      <c r="H56" s="111">
        <f>DATE(YEAR(D50)+I56,MONTH(D50)+9-12*I56,1)</f>
        <v>45108</v>
      </c>
    </row>
    <row r="57" spans="2:14">
      <c r="B57" s="93" t="s">
        <v>513</v>
      </c>
      <c r="C57" s="93"/>
      <c r="D57" s="93"/>
      <c r="E57" s="93"/>
      <c r="F57" s="93"/>
      <c r="H57" s="93">
        <f>(12*YEAR(H56)+MONTH(H56))-(12*2021+7)</f>
        <v>24</v>
      </c>
    </row>
    <row r="58" spans="2:14">
      <c r="B58" s="93" t="s">
        <v>511</v>
      </c>
      <c r="C58" s="93"/>
      <c r="D58" s="93"/>
      <c r="E58" s="93"/>
      <c r="F58" s="93"/>
      <c r="H58" s="93">
        <f>F51*H55+H57*F52</f>
        <v>26</v>
      </c>
    </row>
    <row r="59" spans="2:14">
      <c r="B59" s="93"/>
      <c r="C59" s="93"/>
      <c r="D59" s="93"/>
      <c r="E59" s="93"/>
      <c r="F59" s="93"/>
      <c r="H59" s="93"/>
    </row>
    <row r="60" spans="2:14">
      <c r="B60" s="93" t="s">
        <v>514</v>
      </c>
      <c r="C60" s="93"/>
      <c r="D60" s="93"/>
      <c r="E60" s="93"/>
      <c r="F60" s="93"/>
      <c r="H60" s="93">
        <f>(1+E41)^(H58/12)</f>
        <v>1.0065183350840001</v>
      </c>
    </row>
    <row r="61" spans="2:14">
      <c r="B61" s="93" t="s">
        <v>515</v>
      </c>
      <c r="C61" s="93"/>
      <c r="D61" s="93"/>
      <c r="E61" s="93"/>
      <c r="F61" s="93"/>
      <c r="H61" s="268">
        <f>H60*G17</f>
        <v>25420627.070881508</v>
      </c>
    </row>
  </sheetData>
  <mergeCells count="3">
    <mergeCell ref="B5:B6"/>
    <mergeCell ref="C5:D5"/>
    <mergeCell ref="E5:I5"/>
  </mergeCells>
  <pageMargins left="0.7" right="0.7" top="0.75" bottom="0.75" header="0.3" footer="0.3"/>
  <pageSetup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45EEA-5484-4D82-8A06-84BD462B7FC5}">
  <dimension ref="A1:R174"/>
  <sheetViews>
    <sheetView zoomScaleNormal="100" workbookViewId="0"/>
  </sheetViews>
  <sheetFormatPr defaultColWidth="8.88671875" defaultRowHeight="15.6"/>
  <cols>
    <col min="1" max="1" width="8.88671875" style="1" customWidth="1"/>
    <col min="2" max="2" width="17.109375" style="1" customWidth="1"/>
    <col min="3" max="6" width="15.6640625" style="1" customWidth="1"/>
    <col min="7" max="7" width="17.109375" style="1" customWidth="1"/>
    <col min="8" max="8" width="15.6640625" style="1" customWidth="1"/>
    <col min="9" max="9" width="14.77734375" style="1" customWidth="1"/>
    <col min="10" max="11" width="13.88671875" style="1" customWidth="1"/>
    <col min="12" max="16384" width="8.88671875" style="1"/>
  </cols>
  <sheetData>
    <row r="1" spans="1:12" ht="17.399999999999999">
      <c r="A1" s="2" t="s">
        <v>216</v>
      </c>
      <c r="B1" s="4"/>
      <c r="C1" s="9" t="s">
        <v>9</v>
      </c>
      <c r="D1" s="4"/>
      <c r="E1" s="4"/>
      <c r="F1" s="4"/>
      <c r="G1" s="4"/>
      <c r="H1" s="4"/>
      <c r="I1" s="4"/>
      <c r="J1" s="4"/>
      <c r="K1" s="4"/>
      <c r="L1" s="3"/>
    </row>
    <row r="2" spans="1:12">
      <c r="A2" s="4"/>
      <c r="B2" s="4"/>
      <c r="C2" s="4"/>
      <c r="D2" s="4"/>
      <c r="E2" s="4"/>
      <c r="F2" s="4"/>
      <c r="G2" s="4"/>
      <c r="H2" s="4"/>
      <c r="I2" s="4"/>
      <c r="J2" s="4"/>
      <c r="K2" s="4"/>
      <c r="L2" s="3"/>
    </row>
    <row r="3" spans="1:12">
      <c r="A3" s="9" t="s">
        <v>217</v>
      </c>
      <c r="B3" s="12"/>
      <c r="C3" s="12"/>
      <c r="D3" s="12"/>
      <c r="E3" s="12"/>
      <c r="F3" s="12"/>
      <c r="G3" s="12"/>
      <c r="H3" s="12"/>
      <c r="I3" s="12"/>
      <c r="J3" s="12"/>
      <c r="K3" s="4"/>
      <c r="L3" s="3"/>
    </row>
    <row r="4" spans="1:12" s="11" customFormat="1">
      <c r="A4" s="13"/>
      <c r="B4" s="12"/>
      <c r="C4" s="12"/>
      <c r="D4" s="12"/>
      <c r="E4" s="12"/>
      <c r="F4" s="12"/>
      <c r="G4" s="12"/>
      <c r="H4" s="10"/>
      <c r="I4" s="10"/>
      <c r="J4" s="10"/>
      <c r="K4" s="10"/>
      <c r="L4" s="10"/>
    </row>
    <row r="5" spans="1:12" s="11" customFormat="1">
      <c r="A5" s="9" t="s">
        <v>122</v>
      </c>
      <c r="B5" s="10"/>
      <c r="C5" s="10"/>
      <c r="D5" s="10"/>
      <c r="E5" s="10"/>
      <c r="F5" s="10"/>
      <c r="G5" s="10"/>
      <c r="H5" s="10"/>
      <c r="I5" s="10"/>
      <c r="J5" s="10"/>
      <c r="K5" s="10"/>
      <c r="L5" s="10"/>
    </row>
    <row r="6" spans="1:12" s="11" customFormat="1">
      <c r="A6" s="72"/>
      <c r="B6" s="10"/>
      <c r="C6" s="10"/>
      <c r="D6" s="10"/>
      <c r="E6" s="10"/>
      <c r="F6" s="10"/>
      <c r="G6" s="10"/>
      <c r="H6" s="10"/>
      <c r="I6" s="10"/>
      <c r="J6" s="10"/>
      <c r="K6" s="10"/>
      <c r="L6" s="10"/>
    </row>
    <row r="7" spans="1:12" s="11" customFormat="1" ht="46.8">
      <c r="A7" s="72"/>
      <c r="B7" s="18" t="s">
        <v>34</v>
      </c>
      <c r="C7" s="18" t="s">
        <v>218</v>
      </c>
      <c r="D7" s="15" t="s">
        <v>219</v>
      </c>
      <c r="E7" s="15" t="s">
        <v>220</v>
      </c>
      <c r="F7" s="10"/>
      <c r="G7" s="10"/>
      <c r="H7" s="10"/>
      <c r="I7" s="10"/>
      <c r="J7" s="10"/>
      <c r="K7" s="10"/>
      <c r="L7" s="10"/>
    </row>
    <row r="8" spans="1:12" s="11" customFormat="1">
      <c r="A8" s="72"/>
      <c r="B8" s="21">
        <v>2015</v>
      </c>
      <c r="C8" s="22">
        <v>11200</v>
      </c>
      <c r="D8" s="21">
        <v>0</v>
      </c>
      <c r="E8" s="21">
        <v>0</v>
      </c>
      <c r="F8" s="10"/>
      <c r="G8" s="10"/>
      <c r="H8" s="10"/>
      <c r="I8" s="10"/>
      <c r="J8" s="10"/>
      <c r="K8" s="10"/>
      <c r="L8" s="10"/>
    </row>
    <row r="9" spans="1:12" s="11" customFormat="1">
      <c r="A9" s="10"/>
      <c r="B9" s="21">
        <v>2016</v>
      </c>
      <c r="C9" s="22">
        <v>11850</v>
      </c>
      <c r="D9" s="21">
        <v>0</v>
      </c>
      <c r="E9" s="21">
        <v>0</v>
      </c>
      <c r="F9" s="10"/>
      <c r="G9" s="10"/>
      <c r="H9" s="10"/>
      <c r="I9" s="10"/>
      <c r="J9" s="10"/>
      <c r="K9" s="10"/>
      <c r="L9" s="10"/>
    </row>
    <row r="10" spans="1:12" s="11" customFormat="1">
      <c r="A10" s="10"/>
      <c r="B10" s="21">
        <v>2017</v>
      </c>
      <c r="C10" s="22">
        <v>12500</v>
      </c>
      <c r="D10" s="21">
        <v>1</v>
      </c>
      <c r="E10" s="22">
        <v>1500000</v>
      </c>
      <c r="F10" s="10"/>
      <c r="G10" s="10"/>
      <c r="H10" s="10"/>
      <c r="I10" s="10"/>
      <c r="J10" s="10"/>
      <c r="K10" s="10"/>
      <c r="L10" s="10"/>
    </row>
    <row r="11" spans="1:12" s="11" customFormat="1">
      <c r="A11" s="72"/>
      <c r="B11" s="21">
        <v>2018</v>
      </c>
      <c r="C11" s="22">
        <v>13750</v>
      </c>
      <c r="D11" s="21">
        <v>0</v>
      </c>
      <c r="E11" s="21">
        <v>0</v>
      </c>
      <c r="F11" s="10"/>
      <c r="G11" s="10"/>
      <c r="H11" s="10"/>
      <c r="I11" s="10"/>
      <c r="J11" s="10"/>
      <c r="K11" s="10"/>
      <c r="L11" s="10"/>
    </row>
    <row r="12" spans="1:12" s="11" customFormat="1">
      <c r="A12" s="10"/>
      <c r="B12" s="21">
        <v>2019</v>
      </c>
      <c r="C12" s="22">
        <v>15000</v>
      </c>
      <c r="D12" s="21">
        <v>1</v>
      </c>
      <c r="E12" s="22">
        <v>1120000</v>
      </c>
      <c r="F12" s="10"/>
      <c r="G12" s="10"/>
      <c r="H12" s="10"/>
      <c r="I12" s="10"/>
      <c r="J12" s="10"/>
      <c r="K12" s="10"/>
      <c r="L12" s="10"/>
    </row>
    <row r="13" spans="1:12" s="11" customFormat="1">
      <c r="A13" s="10"/>
      <c r="B13" s="21">
        <v>2020</v>
      </c>
      <c r="C13" s="22">
        <v>16250</v>
      </c>
      <c r="D13" s="21">
        <v>0</v>
      </c>
      <c r="E13" s="21">
        <v>0</v>
      </c>
      <c r="F13" s="10"/>
      <c r="G13" s="10"/>
      <c r="H13" s="10"/>
      <c r="I13" s="10"/>
      <c r="J13" s="10"/>
      <c r="K13" s="10"/>
      <c r="L13" s="10"/>
    </row>
    <row r="14" spans="1:12">
      <c r="A14" s="10"/>
      <c r="B14" s="21">
        <v>2021</v>
      </c>
      <c r="C14" s="22">
        <v>17500</v>
      </c>
      <c r="D14" s="21">
        <v>1</v>
      </c>
      <c r="E14" s="22">
        <v>500000</v>
      </c>
      <c r="F14" s="10"/>
      <c r="G14" s="10"/>
      <c r="H14" s="9"/>
      <c r="I14" s="9"/>
      <c r="J14" s="9"/>
      <c r="K14" s="9"/>
      <c r="L14" s="9"/>
    </row>
    <row r="15" spans="1:12">
      <c r="A15" s="10"/>
      <c r="B15" s="10"/>
      <c r="C15" s="10"/>
      <c r="D15" s="10"/>
      <c r="E15" s="10"/>
      <c r="F15" s="10"/>
      <c r="G15" s="10"/>
      <c r="H15" s="9"/>
      <c r="I15" s="9"/>
      <c r="J15" s="9"/>
      <c r="K15" s="9"/>
      <c r="L15" s="9"/>
    </row>
    <row r="16" spans="1:12">
      <c r="A16" s="9"/>
      <c r="B16" s="32" t="s">
        <v>281</v>
      </c>
      <c r="C16" s="9"/>
      <c r="D16" s="50">
        <v>44805</v>
      </c>
      <c r="E16" s="9" t="s">
        <v>222</v>
      </c>
      <c r="F16" s="9"/>
      <c r="G16" s="9"/>
      <c r="H16" s="9"/>
      <c r="I16" s="9"/>
      <c r="J16" s="9"/>
      <c r="K16" s="9"/>
      <c r="L16" s="9"/>
    </row>
    <row r="17" spans="1:18">
      <c r="A17" s="9"/>
      <c r="B17" s="32" t="s">
        <v>282</v>
      </c>
      <c r="C17" s="9"/>
      <c r="D17" s="9"/>
      <c r="E17" s="48">
        <v>0.03</v>
      </c>
      <c r="F17" s="9"/>
      <c r="G17" s="9"/>
      <c r="H17" s="9"/>
      <c r="I17" s="9"/>
      <c r="J17" s="9"/>
      <c r="K17" s="9"/>
      <c r="L17" s="9"/>
    </row>
    <row r="18" spans="1:18">
      <c r="A18" s="9"/>
      <c r="B18" s="32" t="s">
        <v>283</v>
      </c>
      <c r="C18" s="9"/>
      <c r="D18" s="9"/>
      <c r="E18" s="9"/>
      <c r="F18" s="9"/>
      <c r="G18" s="48">
        <v>0.2</v>
      </c>
      <c r="H18" s="89"/>
      <c r="I18" s="9"/>
      <c r="J18" s="9"/>
      <c r="K18" s="9"/>
      <c r="L18" s="9"/>
    </row>
    <row r="19" spans="1:18">
      <c r="A19" s="9"/>
      <c r="B19" s="87" t="s">
        <v>221</v>
      </c>
      <c r="C19" s="9"/>
      <c r="D19" s="9"/>
      <c r="E19" s="9"/>
      <c r="F19" s="9"/>
      <c r="G19" s="9"/>
      <c r="H19" s="9"/>
      <c r="I19" s="9"/>
      <c r="J19" s="9"/>
      <c r="K19" s="9"/>
      <c r="L19" s="9"/>
    </row>
    <row r="20" spans="1:18">
      <c r="A20" s="9"/>
      <c r="B20" s="32" t="s">
        <v>284</v>
      </c>
      <c r="C20" s="9"/>
      <c r="D20" s="9"/>
      <c r="E20" s="9"/>
      <c r="F20" s="9"/>
      <c r="G20" s="9"/>
      <c r="H20" s="9"/>
      <c r="I20" s="73">
        <v>50</v>
      </c>
      <c r="J20" s="89"/>
      <c r="K20" s="9"/>
      <c r="L20" s="9"/>
    </row>
    <row r="21" spans="1:18">
      <c r="A21" s="9"/>
      <c r="B21" s="87" t="s">
        <v>292</v>
      </c>
      <c r="C21" s="9"/>
      <c r="D21" s="9"/>
      <c r="E21" s="74">
        <v>44013</v>
      </c>
      <c r="F21" s="9"/>
      <c r="G21" s="9"/>
      <c r="H21" s="9"/>
      <c r="I21" s="9"/>
      <c r="J21" s="9"/>
      <c r="K21" s="9"/>
      <c r="L21" s="9"/>
    </row>
    <row r="22" spans="1:18">
      <c r="A22" s="9"/>
      <c r="B22" s="9"/>
      <c r="C22" s="9"/>
      <c r="D22" s="9"/>
      <c r="E22" s="9"/>
      <c r="F22" s="9"/>
      <c r="G22" s="9"/>
      <c r="H22" s="9"/>
      <c r="I22" s="9"/>
      <c r="J22" s="9"/>
      <c r="K22" s="9"/>
      <c r="L22" s="9"/>
    </row>
    <row r="24" spans="1:18">
      <c r="A24" s="6" t="s">
        <v>4</v>
      </c>
      <c r="B24" s="9" t="s">
        <v>223</v>
      </c>
      <c r="C24" s="4"/>
      <c r="D24" s="4"/>
      <c r="E24" s="4"/>
      <c r="F24" s="4"/>
      <c r="G24" s="4"/>
      <c r="H24" s="4"/>
      <c r="I24" s="4"/>
      <c r="J24" s="4"/>
      <c r="K24" s="4"/>
      <c r="L24" s="4"/>
      <c r="M24" s="8"/>
      <c r="N24" s="8"/>
      <c r="O24" s="8"/>
      <c r="P24" s="8"/>
      <c r="Q24" s="8"/>
      <c r="R24" s="8"/>
    </row>
    <row r="25" spans="1:18">
      <c r="A25" s="3"/>
      <c r="B25" s="3"/>
      <c r="C25" s="3"/>
      <c r="D25" s="3"/>
      <c r="E25" s="3"/>
      <c r="F25" s="3"/>
      <c r="G25" s="4"/>
      <c r="H25" s="4"/>
      <c r="I25" s="4"/>
      <c r="J25" s="4"/>
      <c r="K25" s="4"/>
      <c r="L25" s="4"/>
    </row>
    <row r="26" spans="1:18">
      <c r="A26" s="7"/>
      <c r="B26" s="7"/>
      <c r="C26" s="7"/>
      <c r="D26" s="7"/>
      <c r="E26" s="7"/>
      <c r="F26" s="7"/>
      <c r="G26" s="7"/>
      <c r="H26" s="7"/>
      <c r="I26" s="7"/>
      <c r="J26" s="7"/>
      <c r="K26" s="280"/>
      <c r="L26" s="7"/>
      <c r="M26" s="7"/>
    </row>
    <row r="27" spans="1:18">
      <c r="A27" s="7" t="s">
        <v>1</v>
      </c>
      <c r="B27" s="7"/>
      <c r="C27" s="7"/>
      <c r="D27" s="7"/>
      <c r="E27" s="7"/>
      <c r="F27" s="7"/>
      <c r="G27" s="7"/>
      <c r="H27" s="7"/>
      <c r="I27" s="7"/>
      <c r="J27" s="7"/>
      <c r="K27" s="7"/>
      <c r="L27" s="7"/>
      <c r="M27" s="7"/>
      <c r="N27" s="8"/>
    </row>
    <row r="28" spans="1:18">
      <c r="A28" s="7"/>
      <c r="B28" s="93" t="s">
        <v>516</v>
      </c>
      <c r="C28" s="93"/>
      <c r="D28" s="93"/>
      <c r="E28" s="111">
        <v>45170</v>
      </c>
      <c r="F28" s="93"/>
      <c r="H28" s="93"/>
      <c r="I28" s="93"/>
      <c r="J28" s="93"/>
      <c r="K28" s="93"/>
      <c r="L28" s="7"/>
      <c r="M28" s="7"/>
      <c r="N28" s="8"/>
    </row>
    <row r="29" spans="1:18">
      <c r="A29" s="7"/>
      <c r="B29" s="197"/>
      <c r="C29" s="273"/>
      <c r="D29" s="273"/>
      <c r="E29" s="271"/>
      <c r="F29" s="197"/>
      <c r="G29" s="271"/>
      <c r="H29" s="197"/>
      <c r="I29" s="197"/>
      <c r="J29" s="272"/>
      <c r="K29" s="197"/>
      <c r="L29" s="7"/>
      <c r="M29" s="7"/>
      <c r="N29" s="8"/>
    </row>
    <row r="30" spans="1:18">
      <c r="A30" s="7"/>
      <c r="B30" s="143"/>
      <c r="C30" s="143"/>
      <c r="D30" s="316" t="s">
        <v>517</v>
      </c>
      <c r="E30" s="316"/>
      <c r="F30" s="143"/>
      <c r="G30" s="143"/>
      <c r="H30" s="143"/>
      <c r="I30" s="316" t="s">
        <v>518</v>
      </c>
      <c r="J30" s="316"/>
      <c r="K30" s="316"/>
      <c r="L30" s="7"/>
      <c r="M30" s="7"/>
      <c r="N30" s="8"/>
    </row>
    <row r="31" spans="1:18" ht="31.2">
      <c r="A31" s="7"/>
      <c r="B31" s="221" t="s">
        <v>34</v>
      </c>
      <c r="C31" s="221" t="s">
        <v>218</v>
      </c>
      <c r="D31" s="203" t="s">
        <v>519</v>
      </c>
      <c r="E31" s="275" t="s">
        <v>301</v>
      </c>
      <c r="F31" s="221" t="s">
        <v>525</v>
      </c>
      <c r="G31" s="221" t="s">
        <v>526</v>
      </c>
      <c r="H31" s="221" t="s">
        <v>520</v>
      </c>
      <c r="I31" s="221" t="s">
        <v>521</v>
      </c>
      <c r="J31" s="203" t="s">
        <v>522</v>
      </c>
      <c r="K31" s="221" t="s">
        <v>523</v>
      </c>
      <c r="L31" s="7"/>
      <c r="M31" s="7"/>
      <c r="N31" s="8"/>
    </row>
    <row r="32" spans="1:18">
      <c r="A32" s="7"/>
      <c r="B32" s="269">
        <f t="shared" ref="B32:E38" si="0">B8</f>
        <v>2015</v>
      </c>
      <c r="C32" s="230">
        <f t="shared" si="0"/>
        <v>11200</v>
      </c>
      <c r="D32" s="230">
        <f t="shared" si="0"/>
        <v>0</v>
      </c>
      <c r="E32" s="230">
        <f t="shared" si="0"/>
        <v>0</v>
      </c>
      <c r="F32" s="198">
        <f t="shared" ref="F32:F38" si="1">(YEAR($E$28)+(MONTH($E$28)-1)/12)-(B32+0.5)</f>
        <v>8.1666666666667425</v>
      </c>
      <c r="G32" s="201">
        <f>(1+$E$17)^F32</f>
        <v>1.2730261800200213</v>
      </c>
      <c r="H32" s="131">
        <f t="shared" ref="H32:H38" si="2">G32*E32</f>
        <v>0</v>
      </c>
      <c r="I32" s="276">
        <f t="shared" ref="I32:I39" si="3">IF(C32=0,0,D32/C32)</f>
        <v>0</v>
      </c>
      <c r="J32" s="131">
        <f t="shared" ref="J32:J39" si="4">IF(D32=0,0,H32/D32)</f>
        <v>0</v>
      </c>
      <c r="K32" s="134">
        <f>H32/C32</f>
        <v>0</v>
      </c>
      <c r="L32" s="7"/>
      <c r="M32" s="7"/>
      <c r="N32" s="8"/>
    </row>
    <row r="33" spans="1:14">
      <c r="A33" s="7"/>
      <c r="B33" s="269">
        <f t="shared" si="0"/>
        <v>2016</v>
      </c>
      <c r="C33" s="230">
        <f t="shared" si="0"/>
        <v>11850</v>
      </c>
      <c r="D33" s="230">
        <f t="shared" si="0"/>
        <v>0</v>
      </c>
      <c r="E33" s="230">
        <f t="shared" si="0"/>
        <v>0</v>
      </c>
      <c r="F33" s="198">
        <f t="shared" si="1"/>
        <v>7.1666666666667425</v>
      </c>
      <c r="G33" s="201">
        <f t="shared" ref="G33:G38" si="5">(1+$E$17)^F33</f>
        <v>1.2359477475922536</v>
      </c>
      <c r="H33" s="131">
        <f t="shared" si="2"/>
        <v>0</v>
      </c>
      <c r="I33" s="276">
        <f t="shared" si="3"/>
        <v>0</v>
      </c>
      <c r="J33" s="131">
        <f t="shared" si="4"/>
        <v>0</v>
      </c>
      <c r="K33" s="134">
        <f t="shared" ref="K33:K38" si="6">H33/C33</f>
        <v>0</v>
      </c>
      <c r="L33" s="7"/>
      <c r="M33" s="7"/>
      <c r="N33" s="8"/>
    </row>
    <row r="34" spans="1:14">
      <c r="A34" s="7"/>
      <c r="B34" s="269">
        <f t="shared" si="0"/>
        <v>2017</v>
      </c>
      <c r="C34" s="230">
        <f t="shared" si="0"/>
        <v>12500</v>
      </c>
      <c r="D34" s="230">
        <f t="shared" si="0"/>
        <v>1</v>
      </c>
      <c r="E34" s="230">
        <f t="shared" si="0"/>
        <v>1500000</v>
      </c>
      <c r="F34" s="198">
        <f t="shared" si="1"/>
        <v>6.1666666666667425</v>
      </c>
      <c r="G34" s="201">
        <f t="shared" si="5"/>
        <v>1.1999492695070424</v>
      </c>
      <c r="H34" s="131">
        <f t="shared" si="2"/>
        <v>1799923.9042605637</v>
      </c>
      <c r="I34" s="276">
        <f t="shared" si="3"/>
        <v>8.0000000000000007E-5</v>
      </c>
      <c r="J34" s="131">
        <f t="shared" si="4"/>
        <v>1799923.9042605637</v>
      </c>
      <c r="K34" s="134">
        <f t="shared" si="6"/>
        <v>143.9939123408451</v>
      </c>
      <c r="L34" s="7"/>
      <c r="M34" s="7"/>
      <c r="N34" s="8"/>
    </row>
    <row r="35" spans="1:14">
      <c r="A35" s="7"/>
      <c r="B35" s="269">
        <f t="shared" si="0"/>
        <v>2018</v>
      </c>
      <c r="C35" s="230">
        <f t="shared" si="0"/>
        <v>13750</v>
      </c>
      <c r="D35" s="230">
        <f t="shared" si="0"/>
        <v>0</v>
      </c>
      <c r="E35" s="230">
        <f t="shared" si="0"/>
        <v>0</v>
      </c>
      <c r="F35" s="198">
        <f t="shared" si="1"/>
        <v>5.1666666666667425</v>
      </c>
      <c r="G35" s="201">
        <f t="shared" si="5"/>
        <v>1.1649992907835363</v>
      </c>
      <c r="H35" s="131">
        <f t="shared" si="2"/>
        <v>0</v>
      </c>
      <c r="I35" s="276">
        <f t="shared" si="3"/>
        <v>0</v>
      </c>
      <c r="J35" s="131">
        <f t="shared" si="4"/>
        <v>0</v>
      </c>
      <c r="K35" s="134">
        <f t="shared" si="6"/>
        <v>0</v>
      </c>
      <c r="L35" s="7"/>
      <c r="M35" s="7"/>
      <c r="N35" s="8"/>
    </row>
    <row r="36" spans="1:14">
      <c r="A36" s="7"/>
      <c r="B36" s="269">
        <f t="shared" si="0"/>
        <v>2019</v>
      </c>
      <c r="C36" s="230">
        <f t="shared" si="0"/>
        <v>15000</v>
      </c>
      <c r="D36" s="230">
        <f t="shared" si="0"/>
        <v>1</v>
      </c>
      <c r="E36" s="230">
        <f t="shared" si="0"/>
        <v>1120000</v>
      </c>
      <c r="F36" s="198">
        <f t="shared" si="1"/>
        <v>4.1666666666667425</v>
      </c>
      <c r="G36" s="201">
        <f t="shared" si="5"/>
        <v>1.131067272605375</v>
      </c>
      <c r="H36" s="131">
        <f t="shared" si="2"/>
        <v>1266795.3453180201</v>
      </c>
      <c r="I36" s="276">
        <f t="shared" si="3"/>
        <v>6.666666666666667E-5</v>
      </c>
      <c r="J36" s="131">
        <f t="shared" si="4"/>
        <v>1266795.3453180201</v>
      </c>
      <c r="K36" s="134">
        <f t="shared" si="6"/>
        <v>84.453023021201332</v>
      </c>
      <c r="L36" s="7"/>
      <c r="M36" s="7"/>
      <c r="N36" s="8"/>
    </row>
    <row r="37" spans="1:14">
      <c r="A37" s="7"/>
      <c r="B37" s="269">
        <f t="shared" si="0"/>
        <v>2020</v>
      </c>
      <c r="C37" s="230">
        <f t="shared" si="0"/>
        <v>16250</v>
      </c>
      <c r="D37" s="230">
        <f t="shared" si="0"/>
        <v>0</v>
      </c>
      <c r="E37" s="230">
        <f t="shared" si="0"/>
        <v>0</v>
      </c>
      <c r="F37" s="198">
        <f t="shared" si="1"/>
        <v>3.1666666666667425</v>
      </c>
      <c r="G37" s="201">
        <f t="shared" si="5"/>
        <v>1.0981235656362864</v>
      </c>
      <c r="H37" s="131">
        <f t="shared" si="2"/>
        <v>0</v>
      </c>
      <c r="I37" s="276">
        <f t="shared" si="3"/>
        <v>0</v>
      </c>
      <c r="J37" s="131">
        <f t="shared" si="4"/>
        <v>0</v>
      </c>
      <c r="K37" s="134">
        <f t="shared" si="6"/>
        <v>0</v>
      </c>
      <c r="L37" s="7"/>
      <c r="M37" s="7"/>
      <c r="N37" s="8"/>
    </row>
    <row r="38" spans="1:14">
      <c r="A38" s="7"/>
      <c r="B38" s="270">
        <f t="shared" si="0"/>
        <v>2021</v>
      </c>
      <c r="C38" s="231">
        <f t="shared" si="0"/>
        <v>17500</v>
      </c>
      <c r="D38" s="231">
        <f t="shared" si="0"/>
        <v>1</v>
      </c>
      <c r="E38" s="231">
        <f t="shared" si="0"/>
        <v>500000</v>
      </c>
      <c r="F38" s="277">
        <f t="shared" si="1"/>
        <v>2.1666666666667425</v>
      </c>
      <c r="G38" s="181">
        <f t="shared" si="5"/>
        <v>1.0661393841128992</v>
      </c>
      <c r="H38" s="166">
        <f t="shared" si="2"/>
        <v>533069.6920564496</v>
      </c>
      <c r="I38" s="278">
        <f t="shared" si="3"/>
        <v>5.7142857142857142E-5</v>
      </c>
      <c r="J38" s="166">
        <f t="shared" si="4"/>
        <v>533069.6920564496</v>
      </c>
      <c r="K38" s="136">
        <f t="shared" si="6"/>
        <v>30.461125260368547</v>
      </c>
      <c r="L38" s="7"/>
      <c r="M38" s="7"/>
      <c r="N38" s="8"/>
    </row>
    <row r="39" spans="1:14">
      <c r="A39" s="7"/>
      <c r="B39" s="143" t="s">
        <v>97</v>
      </c>
      <c r="C39" s="230">
        <f>SUM(C32:C38)</f>
        <v>98050</v>
      </c>
      <c r="D39" s="230">
        <f>SUM(D32:D38)</f>
        <v>3</v>
      </c>
      <c r="E39" s="230">
        <f>SUM(E32:E38)</f>
        <v>3120000</v>
      </c>
      <c r="F39" s="230"/>
      <c r="G39" s="279"/>
      <c r="H39" s="230">
        <f>SUM(H32:H38)</f>
        <v>3599788.9416350336</v>
      </c>
      <c r="I39" s="276">
        <f t="shared" si="3"/>
        <v>3.0596634370219274E-5</v>
      </c>
      <c r="J39" s="131">
        <f t="shared" si="4"/>
        <v>1199929.6472116779</v>
      </c>
      <c r="K39" s="134">
        <f t="shared" ref="K39" si="7">IF(C39=0,0,H39/C39)</f>
        <v>36.713808685721915</v>
      </c>
      <c r="L39" s="7"/>
      <c r="M39" s="7"/>
      <c r="N39" s="8"/>
    </row>
    <row r="40" spans="1:14">
      <c r="M40" s="8"/>
      <c r="N40" s="8"/>
    </row>
    <row r="41" spans="1:14">
      <c r="A41" s="9"/>
      <c r="B41" s="9"/>
      <c r="C41" s="9"/>
      <c r="D41" s="9"/>
      <c r="E41" s="9"/>
      <c r="F41" s="9"/>
      <c r="G41" s="9"/>
      <c r="H41" s="9"/>
      <c r="I41" s="9"/>
      <c r="J41" s="9"/>
      <c r="K41" s="281"/>
      <c r="L41" s="9"/>
      <c r="M41" s="8"/>
      <c r="N41" s="8"/>
    </row>
    <row r="42" spans="1:14">
      <c r="A42" s="9" t="s">
        <v>155</v>
      </c>
      <c r="B42" s="9"/>
      <c r="C42" s="9"/>
      <c r="D42" s="9"/>
      <c r="E42" s="9"/>
      <c r="F42" s="9"/>
      <c r="G42" s="9"/>
      <c r="H42" s="9"/>
      <c r="I42" s="9"/>
      <c r="J42" s="9"/>
      <c r="K42" s="9"/>
      <c r="L42" s="9"/>
      <c r="M42" s="8"/>
      <c r="N42" s="8"/>
    </row>
    <row r="43" spans="1:14">
      <c r="A43" s="9"/>
      <c r="B43" s="9"/>
      <c r="C43" s="9"/>
      <c r="D43" s="9"/>
      <c r="E43" s="9"/>
      <c r="F43" s="9"/>
      <c r="G43" s="9"/>
      <c r="H43" s="9"/>
      <c r="I43" s="9"/>
      <c r="J43" s="9"/>
      <c r="K43" s="9"/>
      <c r="L43" s="9"/>
      <c r="M43" s="8"/>
      <c r="N43" s="8"/>
    </row>
    <row r="44" spans="1:14">
      <c r="A44" s="9"/>
      <c r="B44" s="32" t="s">
        <v>285</v>
      </c>
      <c r="C44" s="9"/>
      <c r="D44" s="9"/>
      <c r="E44" s="48">
        <v>0.04</v>
      </c>
      <c r="F44" s="9"/>
      <c r="G44" s="9"/>
      <c r="H44" s="9"/>
      <c r="I44" s="9"/>
      <c r="J44" s="9"/>
      <c r="K44" s="9"/>
      <c r="L44" s="9"/>
      <c r="M44" s="8"/>
      <c r="N44" s="8"/>
    </row>
    <row r="45" spans="1:14">
      <c r="A45" s="9"/>
      <c r="B45" s="32" t="s">
        <v>286</v>
      </c>
      <c r="C45" s="9"/>
      <c r="D45" s="66">
        <v>2.5000000000000001E-2</v>
      </c>
      <c r="E45" s="9"/>
      <c r="F45" s="9"/>
      <c r="G45" s="9"/>
      <c r="H45" s="9"/>
      <c r="I45" s="9"/>
      <c r="J45" s="9"/>
      <c r="K45" s="9"/>
      <c r="L45" s="9"/>
      <c r="M45" s="8"/>
      <c r="N45" s="8"/>
    </row>
    <row r="46" spans="1:14">
      <c r="A46" s="9"/>
      <c r="B46" s="32" t="s">
        <v>303</v>
      </c>
      <c r="C46" s="9"/>
      <c r="D46" s="48">
        <v>0.2</v>
      </c>
      <c r="E46" s="9" t="s">
        <v>225</v>
      </c>
      <c r="F46" s="9"/>
      <c r="G46" s="9"/>
      <c r="H46" s="9"/>
      <c r="I46" s="281"/>
      <c r="J46" s="9"/>
      <c r="K46" s="9"/>
      <c r="L46" s="9"/>
      <c r="M46" s="8"/>
      <c r="N46" s="8"/>
    </row>
    <row r="47" spans="1:14">
      <c r="A47" s="9"/>
      <c r="B47" s="32" t="s">
        <v>287</v>
      </c>
      <c r="C47" s="9"/>
      <c r="D47" s="73">
        <v>70</v>
      </c>
      <c r="E47" s="9" t="s">
        <v>224</v>
      </c>
      <c r="F47" s="9"/>
      <c r="G47" s="9"/>
      <c r="H47" s="9"/>
      <c r="I47" s="9"/>
      <c r="J47" s="9"/>
      <c r="K47" s="9"/>
      <c r="L47" s="9"/>
      <c r="M47" s="8"/>
      <c r="N47" s="8"/>
    </row>
    <row r="48" spans="1:14">
      <c r="A48" s="9"/>
      <c r="B48" s="32" t="s">
        <v>288</v>
      </c>
      <c r="C48" s="9"/>
      <c r="D48" s="48">
        <v>0.05</v>
      </c>
      <c r="E48" s="9" t="s">
        <v>225</v>
      </c>
      <c r="F48" s="9"/>
      <c r="G48" s="9"/>
      <c r="H48" s="9"/>
      <c r="I48" s="9"/>
      <c r="J48" s="9"/>
      <c r="K48" s="9"/>
      <c r="L48" s="9"/>
      <c r="M48" s="8"/>
      <c r="N48" s="8"/>
    </row>
    <row r="49" spans="1:14">
      <c r="A49" s="9"/>
      <c r="B49" s="32" t="s">
        <v>289</v>
      </c>
      <c r="C49" s="9"/>
      <c r="D49" s="9"/>
      <c r="E49" s="9"/>
      <c r="F49" s="74">
        <v>44378</v>
      </c>
      <c r="G49" s="30" t="s">
        <v>291</v>
      </c>
      <c r="H49" s="48">
        <v>0.67</v>
      </c>
      <c r="I49" s="9"/>
      <c r="J49" s="9"/>
      <c r="K49" s="9"/>
      <c r="L49" s="9"/>
      <c r="M49" s="8"/>
      <c r="N49" s="8"/>
    </row>
    <row r="50" spans="1:14">
      <c r="A50" s="9"/>
      <c r="B50" s="32" t="s">
        <v>290</v>
      </c>
      <c r="C50" s="9"/>
      <c r="D50" s="9"/>
      <c r="E50" s="9"/>
      <c r="F50" s="52">
        <v>21507500</v>
      </c>
      <c r="G50" s="9"/>
      <c r="H50" s="9"/>
      <c r="I50" s="9"/>
      <c r="J50" s="9"/>
      <c r="K50" s="9"/>
      <c r="L50" s="9"/>
      <c r="M50" s="8"/>
      <c r="N50" s="8"/>
    </row>
    <row r="51" spans="1:14">
      <c r="A51" s="9"/>
      <c r="B51" s="9"/>
      <c r="C51" s="9"/>
      <c r="D51" s="9"/>
      <c r="E51" s="9"/>
      <c r="F51" s="9"/>
      <c r="G51" s="9"/>
      <c r="H51" s="9"/>
      <c r="I51" s="9"/>
      <c r="J51" s="9"/>
      <c r="K51" s="9"/>
      <c r="L51" s="9"/>
      <c r="M51" s="8"/>
      <c r="N51" s="8"/>
    </row>
    <row r="53" spans="1:14">
      <c r="A53" s="6" t="s">
        <v>5</v>
      </c>
      <c r="B53" s="9" t="s">
        <v>226</v>
      </c>
      <c r="C53" s="4"/>
      <c r="D53" s="4"/>
      <c r="E53" s="4"/>
      <c r="F53" s="4"/>
      <c r="G53" s="4"/>
      <c r="H53" s="4"/>
      <c r="I53" s="4"/>
      <c r="J53" s="4"/>
      <c r="K53" s="4"/>
      <c r="L53" s="4"/>
    </row>
    <row r="54" spans="1:14">
      <c r="A54" s="3"/>
      <c r="B54" s="3"/>
      <c r="C54" s="3"/>
      <c r="D54" s="3"/>
      <c r="E54" s="3"/>
      <c r="F54" s="3"/>
      <c r="G54" s="4"/>
      <c r="H54" s="4"/>
      <c r="I54" s="4"/>
      <c r="J54" s="4"/>
      <c r="K54" s="4"/>
      <c r="L54" s="4"/>
    </row>
    <row r="55" spans="1:14">
      <c r="A55" s="7"/>
      <c r="B55" s="7"/>
      <c r="C55" s="7"/>
      <c r="D55" s="7"/>
      <c r="E55" s="7"/>
      <c r="F55" s="7"/>
      <c r="G55" s="7"/>
      <c r="H55" s="7"/>
      <c r="I55" s="7"/>
      <c r="J55" s="7"/>
      <c r="K55" s="7"/>
      <c r="L55" s="7"/>
    </row>
    <row r="56" spans="1:14">
      <c r="A56" s="7" t="s">
        <v>1</v>
      </c>
      <c r="B56" s="7"/>
      <c r="C56" s="7"/>
      <c r="D56" s="7"/>
      <c r="E56" s="7"/>
      <c r="F56" s="7"/>
      <c r="G56" s="7"/>
      <c r="H56" s="7"/>
      <c r="I56" s="7"/>
      <c r="J56" s="7"/>
      <c r="K56" s="7"/>
      <c r="L56" s="7"/>
    </row>
    <row r="57" spans="1:14" ht="31.2">
      <c r="B57" s="284"/>
      <c r="C57" s="228"/>
      <c r="D57" s="228"/>
      <c r="E57" s="228"/>
      <c r="F57" s="203" t="s">
        <v>524</v>
      </c>
      <c r="G57" s="221" t="s">
        <v>532</v>
      </c>
    </row>
    <row r="58" spans="1:14">
      <c r="B58" s="93" t="s">
        <v>531</v>
      </c>
      <c r="C58" s="93"/>
      <c r="D58" s="93"/>
      <c r="E58" s="93"/>
      <c r="F58" s="274">
        <v>0.2</v>
      </c>
      <c r="G58" s="285">
        <f>K39</f>
        <v>36.713808685721915</v>
      </c>
    </row>
    <row r="59" spans="1:14">
      <c r="B59" s="228" t="s">
        <v>533</v>
      </c>
      <c r="C59" s="228"/>
      <c r="D59" s="228"/>
      <c r="E59" s="228"/>
      <c r="F59" s="286">
        <v>0.8</v>
      </c>
      <c r="G59" s="287">
        <f>I20</f>
        <v>50</v>
      </c>
    </row>
    <row r="60" spans="1:14">
      <c r="B60" s="93" t="s">
        <v>527</v>
      </c>
      <c r="C60" s="93"/>
      <c r="D60" s="93"/>
      <c r="E60" s="93"/>
      <c r="F60" s="143"/>
      <c r="G60" s="285">
        <f>G58*F58+G59*F59</f>
        <v>47.342761737144386</v>
      </c>
    </row>
    <row r="61" spans="1:14">
      <c r="B61" s="93"/>
      <c r="C61" s="93"/>
      <c r="D61" s="93"/>
      <c r="E61" s="93"/>
      <c r="F61" s="143"/>
      <c r="G61" s="134"/>
      <c r="J61" s="93"/>
      <c r="K61" s="282"/>
    </row>
    <row r="62" spans="1:14">
      <c r="B62" s="93" t="s">
        <v>528</v>
      </c>
      <c r="C62" s="93"/>
      <c r="D62" s="93"/>
      <c r="E62" s="93"/>
      <c r="F62" s="134">
        <f>F50*H49/C38</f>
        <v>823.43</v>
      </c>
      <c r="J62" s="93"/>
      <c r="K62" s="282"/>
    </row>
    <row r="63" spans="1:14">
      <c r="B63" s="93" t="s">
        <v>529</v>
      </c>
      <c r="C63" s="93"/>
      <c r="D63" s="93"/>
      <c r="E63" s="93"/>
      <c r="F63" s="134">
        <f>F62*((1+E44)/(1+D45))^F38</f>
        <v>849.76181637622824</v>
      </c>
      <c r="J63" s="93"/>
      <c r="K63" s="282"/>
    </row>
    <row r="64" spans="1:14" customFormat="1">
      <c r="B64" s="93" t="s">
        <v>530</v>
      </c>
      <c r="C64" s="93"/>
      <c r="D64" s="93"/>
      <c r="E64" s="93"/>
      <c r="F64" s="134">
        <f>(F63+G60+D47)/(1-D46-D48)</f>
        <v>1289.4727708178302</v>
      </c>
      <c r="G64" s="1"/>
      <c r="H64" s="1"/>
      <c r="I64" s="1"/>
      <c r="J64" s="93"/>
      <c r="K64" s="282"/>
    </row>
    <row r="65" spans="2:10" customFormat="1">
      <c r="B65" s="283"/>
      <c r="C65" s="283"/>
      <c r="D65" s="283"/>
      <c r="E65" s="283"/>
      <c r="F65" s="283"/>
      <c r="G65" s="283"/>
      <c r="H65" s="283"/>
      <c r="I65" s="283"/>
      <c r="J65" s="283"/>
    </row>
    <row r="66" spans="2:10" customFormat="1">
      <c r="B66" s="283"/>
      <c r="C66" s="283"/>
      <c r="D66" s="283"/>
      <c r="E66" s="283"/>
      <c r="F66" s="283"/>
      <c r="G66" s="283"/>
      <c r="H66" s="283"/>
      <c r="I66" s="283"/>
      <c r="J66" s="283"/>
    </row>
    <row r="67" spans="2:10" customFormat="1">
      <c r="B67" s="283"/>
      <c r="C67" s="283"/>
      <c r="D67" s="283"/>
      <c r="E67" s="283"/>
      <c r="F67" s="283"/>
      <c r="G67" s="283"/>
      <c r="H67" s="283"/>
      <c r="I67" s="283"/>
      <c r="J67" s="283"/>
    </row>
    <row r="68" spans="2:10" customFormat="1">
      <c r="B68" s="283"/>
      <c r="C68" s="283"/>
      <c r="D68" s="283"/>
      <c r="E68" s="283"/>
      <c r="F68" s="283"/>
      <c r="G68" s="283"/>
      <c r="H68" s="283"/>
      <c r="I68" s="283"/>
      <c r="J68" s="283"/>
    </row>
    <row r="69" spans="2:10" customFormat="1" ht="14.4"/>
    <row r="70" spans="2:10" customFormat="1" ht="14.4"/>
    <row r="71" spans="2:10" customFormat="1" ht="14.4"/>
    <row r="72" spans="2:10" customFormat="1" ht="14.4"/>
    <row r="73" spans="2:10" customFormat="1" ht="14.4"/>
    <row r="74" spans="2:10" customFormat="1" ht="14.4"/>
    <row r="75" spans="2:10" customFormat="1" ht="14.4"/>
    <row r="76" spans="2:10" customFormat="1" ht="14.4"/>
    <row r="77" spans="2:10" customFormat="1" ht="14.4"/>
    <row r="78" spans="2:10" customFormat="1" ht="14.4"/>
    <row r="79" spans="2:10" customFormat="1" ht="14.4"/>
    <row r="80" spans="2:10" customFormat="1" ht="14.4"/>
    <row r="81" customFormat="1" ht="14.4"/>
    <row r="82" customFormat="1" ht="14.4"/>
    <row r="83" customFormat="1" ht="14.4"/>
    <row r="84" customFormat="1" ht="14.4"/>
    <row r="85" customFormat="1" ht="14.4"/>
    <row r="86" customFormat="1" ht="14.4"/>
    <row r="87" customFormat="1" ht="14.4"/>
    <row r="88" customFormat="1" ht="14.4"/>
    <row r="89" customFormat="1" ht="14.4"/>
    <row r="90" customFormat="1" ht="14.4"/>
    <row r="91" customFormat="1" ht="14.4"/>
    <row r="92" customFormat="1" ht="14.4"/>
    <row r="93" customFormat="1" ht="14.4"/>
    <row r="94" customFormat="1" ht="14.4"/>
    <row r="95" customFormat="1" ht="14.4"/>
    <row r="96" customFormat="1" ht="14.4"/>
    <row r="97" customFormat="1" ht="14.4"/>
    <row r="98" customFormat="1" ht="14.4"/>
    <row r="99" customFormat="1" ht="14.4"/>
    <row r="100" customFormat="1" ht="14.4"/>
    <row r="101" customFormat="1" ht="14.4"/>
    <row r="102" customFormat="1" ht="14.4"/>
    <row r="103" customFormat="1" ht="14.4"/>
    <row r="104" customFormat="1" ht="14.4"/>
    <row r="105" customFormat="1" ht="14.4"/>
    <row r="106" customFormat="1" ht="14.4"/>
    <row r="107" customFormat="1" ht="14.4"/>
    <row r="108" customFormat="1" ht="14.4"/>
    <row r="109" customFormat="1" ht="14.4"/>
    <row r="110" customFormat="1" ht="14.4"/>
    <row r="111" customFormat="1" ht="14.4"/>
    <row r="112" customFormat="1" ht="14.4"/>
    <row r="113" customFormat="1" ht="14.4"/>
    <row r="114" customFormat="1" ht="14.4"/>
    <row r="115" customFormat="1" ht="14.4"/>
    <row r="116" customFormat="1" ht="14.4"/>
    <row r="117" customFormat="1" ht="14.4"/>
    <row r="118" customFormat="1" ht="14.4"/>
    <row r="119" customFormat="1" ht="14.4"/>
    <row r="120" customFormat="1" ht="14.4"/>
    <row r="121" customFormat="1" ht="14.4"/>
    <row r="122" customFormat="1" ht="14.4"/>
    <row r="123" customFormat="1" ht="14.4"/>
    <row r="124" customFormat="1" ht="14.4"/>
    <row r="125" customFormat="1" ht="14.4"/>
    <row r="126" customFormat="1" ht="14.4"/>
    <row r="127" customFormat="1" ht="14.4"/>
    <row r="128" customFormat="1" ht="14.4"/>
    <row r="129" customFormat="1" ht="14.4"/>
    <row r="130" customFormat="1" ht="14.4"/>
    <row r="131" customFormat="1" ht="14.4"/>
    <row r="132" customFormat="1" ht="14.4"/>
    <row r="133" customFormat="1" ht="14.4"/>
    <row r="134" customFormat="1" ht="14.4"/>
    <row r="135" customFormat="1" ht="14.4"/>
    <row r="136" customFormat="1" ht="14.4"/>
    <row r="137" customFormat="1" ht="14.4"/>
    <row r="138" customFormat="1" ht="14.4"/>
    <row r="139" customFormat="1" ht="14.4"/>
    <row r="140" customFormat="1" ht="14.4"/>
    <row r="141" customFormat="1" ht="14.4"/>
    <row r="142" customFormat="1" ht="14.4"/>
    <row r="143" customFormat="1" ht="14.4"/>
    <row r="144" customFormat="1" ht="14.4"/>
    <row r="145" customFormat="1" ht="14.4"/>
    <row r="146" customFormat="1" ht="14.4"/>
    <row r="147" customFormat="1" ht="14.4"/>
    <row r="148" customFormat="1" ht="14.4"/>
    <row r="149" customFormat="1" ht="14.4"/>
    <row r="150" customFormat="1" ht="14.4"/>
    <row r="151" customFormat="1" ht="14.4"/>
    <row r="152" customFormat="1" ht="14.4"/>
    <row r="153" customFormat="1" ht="14.4"/>
    <row r="154" customFormat="1" ht="14.4"/>
    <row r="155" customFormat="1" ht="14.4"/>
    <row r="156" customFormat="1" ht="14.4"/>
    <row r="157" customFormat="1" ht="14.4"/>
    <row r="158" customFormat="1" ht="14.4"/>
    <row r="159" customFormat="1" ht="14.4"/>
    <row r="160" customFormat="1" ht="14.4"/>
    <row r="161" customFormat="1" ht="14.4"/>
    <row r="162" customFormat="1" ht="14.4"/>
    <row r="163" customFormat="1" ht="14.4"/>
    <row r="164" customFormat="1" ht="14.4"/>
    <row r="165" customFormat="1" ht="14.4"/>
    <row r="166" customFormat="1" ht="14.4"/>
    <row r="167" customFormat="1" ht="14.4"/>
    <row r="168" customFormat="1" ht="14.4"/>
    <row r="169" customFormat="1" ht="14.4"/>
    <row r="170" customFormat="1" ht="14.4"/>
    <row r="171" customFormat="1" ht="14.4"/>
    <row r="172" customFormat="1" ht="14.4"/>
    <row r="173" customFormat="1" ht="14.4"/>
    <row r="174" customFormat="1" ht="14.4"/>
  </sheetData>
  <mergeCells count="2">
    <mergeCell ref="D30:E30"/>
    <mergeCell ref="I30:K30"/>
  </mergeCells>
  <pageMargins left="0.7" right="0.7" top="0.75" bottom="0.75" header="0.3" footer="0.3"/>
  <pageSetup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CBB81-7F52-41E3-87FC-7228805FE3F8}">
  <dimension ref="A1:L4"/>
  <sheetViews>
    <sheetView zoomScaleNormal="100" workbookViewId="0"/>
  </sheetViews>
  <sheetFormatPr defaultColWidth="8.88671875" defaultRowHeight="15.6"/>
  <cols>
    <col min="1" max="6" width="8.88671875" style="1" customWidth="1"/>
    <col min="7" max="7" width="8.88671875" style="1"/>
    <col min="8" max="8" width="8.88671875" style="1" customWidth="1"/>
    <col min="9" max="16384" width="8.88671875" style="1"/>
  </cols>
  <sheetData>
    <row r="1" spans="1:12" ht="17.399999999999999">
      <c r="A1" s="2" t="s">
        <v>227</v>
      </c>
      <c r="B1" s="4"/>
      <c r="C1" s="9" t="s">
        <v>9</v>
      </c>
      <c r="D1" s="4"/>
      <c r="E1" s="4"/>
      <c r="F1" s="4"/>
      <c r="G1" s="4"/>
      <c r="H1" s="4"/>
      <c r="I1" s="4"/>
      <c r="J1" s="4"/>
      <c r="K1" s="4"/>
      <c r="L1" s="3"/>
    </row>
    <row r="2" spans="1:12">
      <c r="A2" s="4"/>
      <c r="B2" s="4"/>
      <c r="C2" s="4"/>
      <c r="D2" s="4"/>
      <c r="E2" s="4"/>
      <c r="F2" s="4"/>
      <c r="G2" s="4"/>
      <c r="H2" s="4"/>
      <c r="I2" s="4"/>
      <c r="J2" s="4"/>
      <c r="K2" s="4"/>
      <c r="L2" s="3"/>
    </row>
    <row r="3" spans="1:12" ht="16.2">
      <c r="A3" s="14" t="s">
        <v>228</v>
      </c>
      <c r="B3" s="4"/>
      <c r="C3" s="4"/>
      <c r="D3" s="4"/>
      <c r="E3" s="4"/>
      <c r="F3" s="4"/>
      <c r="G3" s="4"/>
      <c r="H3" s="9"/>
      <c r="I3" s="9"/>
      <c r="J3" s="9"/>
      <c r="K3" s="9"/>
      <c r="L3" s="9"/>
    </row>
    <row r="4" spans="1:12">
      <c r="A4" s="4"/>
      <c r="B4" s="4"/>
      <c r="C4" s="4"/>
      <c r="D4" s="4"/>
      <c r="E4" s="4"/>
      <c r="F4" s="4"/>
      <c r="G4" s="4"/>
      <c r="H4" s="9"/>
      <c r="I4" s="9"/>
      <c r="J4" s="9"/>
      <c r="K4" s="9"/>
      <c r="L4" s="9"/>
    </row>
  </sheetData>
  <pageMargins left="0.7" right="0.7" top="0.75" bottom="0.75" header="0.3" footer="0.3"/>
  <pageSetup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FACF4-0FEA-44EC-988F-EDAC236130DA}">
  <dimension ref="A1:P69"/>
  <sheetViews>
    <sheetView zoomScaleNormal="100" workbookViewId="0"/>
  </sheetViews>
  <sheetFormatPr defaultColWidth="8.88671875" defaultRowHeight="15.6"/>
  <cols>
    <col min="1" max="1" width="8.88671875" style="1" customWidth="1"/>
    <col min="2" max="2" width="10.6640625" style="1" customWidth="1"/>
    <col min="3" max="3" width="2.6640625" style="1" customWidth="1"/>
    <col min="4" max="4" width="10.6640625" style="1" customWidth="1"/>
    <col min="5" max="6" width="12.6640625" style="1" customWidth="1"/>
    <col min="7" max="7" width="8.88671875" style="1"/>
    <col min="8" max="8" width="8.88671875" style="1" customWidth="1"/>
    <col min="9" max="16384" width="8.88671875" style="1"/>
  </cols>
  <sheetData>
    <row r="1" spans="1:16" ht="17.399999999999999">
      <c r="A1" s="2" t="s">
        <v>229</v>
      </c>
      <c r="B1" s="4"/>
      <c r="C1" s="9" t="s">
        <v>11</v>
      </c>
      <c r="D1" s="4"/>
      <c r="E1" s="4"/>
      <c r="F1" s="4"/>
      <c r="G1" s="4"/>
      <c r="H1" s="4"/>
      <c r="I1" s="4"/>
      <c r="J1" s="4"/>
      <c r="K1" s="4"/>
      <c r="L1" s="3"/>
    </row>
    <row r="2" spans="1:16">
      <c r="A2" s="4"/>
      <c r="B2" s="4"/>
      <c r="C2" s="4"/>
      <c r="D2" s="4"/>
      <c r="E2" s="4"/>
      <c r="F2" s="4"/>
      <c r="G2" s="4"/>
      <c r="H2" s="4"/>
      <c r="I2" s="4"/>
      <c r="J2" s="4"/>
      <c r="K2" s="4"/>
      <c r="L2" s="3"/>
    </row>
    <row r="3" spans="1:16">
      <c r="A3" s="9" t="s">
        <v>230</v>
      </c>
      <c r="B3" s="10"/>
      <c r="C3" s="10"/>
      <c r="D3" s="10"/>
      <c r="E3" s="10"/>
      <c r="F3" s="10"/>
      <c r="G3" s="10"/>
      <c r="H3" s="10"/>
      <c r="I3" s="10"/>
      <c r="J3" s="12"/>
      <c r="K3" s="4"/>
      <c r="L3" s="3"/>
    </row>
    <row r="4" spans="1:16" s="11" customFormat="1">
      <c r="A4" s="72"/>
      <c r="B4" s="10"/>
      <c r="C4" s="10"/>
      <c r="D4" s="10"/>
      <c r="E4" s="10"/>
      <c r="F4" s="10"/>
      <c r="G4" s="10"/>
      <c r="H4" s="10"/>
      <c r="I4" s="10"/>
      <c r="J4" s="10"/>
      <c r="K4" s="10"/>
      <c r="L4" s="10"/>
    </row>
    <row r="5" spans="1:16" s="11" customFormat="1" ht="31.2">
      <c r="A5" s="72"/>
      <c r="B5" s="324" t="s">
        <v>231</v>
      </c>
      <c r="C5" s="325"/>
      <c r="D5" s="320"/>
      <c r="E5" s="15" t="s">
        <v>232</v>
      </c>
      <c r="F5" s="15" t="s">
        <v>233</v>
      </c>
      <c r="G5" s="10"/>
      <c r="H5" s="10"/>
      <c r="I5" s="10"/>
      <c r="J5" s="10"/>
      <c r="K5" s="10"/>
      <c r="L5" s="10"/>
    </row>
    <row r="6" spans="1:16" s="11" customFormat="1">
      <c r="A6" s="72"/>
      <c r="B6" s="75">
        <v>0</v>
      </c>
      <c r="C6" s="76" t="s">
        <v>234</v>
      </c>
      <c r="D6" s="77">
        <v>500</v>
      </c>
      <c r="E6" s="17">
        <v>2570</v>
      </c>
      <c r="F6" s="17">
        <v>886650</v>
      </c>
      <c r="G6" s="10"/>
      <c r="H6" s="10"/>
      <c r="I6" s="10"/>
      <c r="J6" s="10"/>
      <c r="K6" s="10"/>
      <c r="L6" s="10"/>
    </row>
    <row r="7" spans="1:16" s="11" customFormat="1">
      <c r="A7" s="72"/>
      <c r="B7" s="75">
        <v>501</v>
      </c>
      <c r="C7" s="76" t="s">
        <v>234</v>
      </c>
      <c r="D7" s="78">
        <v>1000</v>
      </c>
      <c r="E7" s="17">
        <v>2860</v>
      </c>
      <c r="F7" s="17">
        <v>1976260</v>
      </c>
      <c r="G7" s="10"/>
      <c r="H7" s="10"/>
      <c r="I7" s="10"/>
      <c r="J7" s="10"/>
      <c r="K7" s="10"/>
      <c r="L7" s="10"/>
    </row>
    <row r="8" spans="1:16" s="11" customFormat="1">
      <c r="A8" s="72"/>
      <c r="B8" s="79">
        <v>1001</v>
      </c>
      <c r="C8" s="76" t="s">
        <v>234</v>
      </c>
      <c r="D8" s="78">
        <v>2000</v>
      </c>
      <c r="E8" s="17">
        <v>2235</v>
      </c>
      <c r="F8" s="17">
        <v>3256395</v>
      </c>
      <c r="G8" s="10"/>
      <c r="H8" s="10"/>
      <c r="I8" s="10"/>
      <c r="J8" s="10"/>
      <c r="K8" s="10"/>
      <c r="L8" s="10"/>
    </row>
    <row r="9" spans="1:16" s="11" customFormat="1">
      <c r="A9" s="10"/>
      <c r="B9" s="79">
        <v>2001</v>
      </c>
      <c r="C9" s="76" t="s">
        <v>234</v>
      </c>
      <c r="D9" s="77" t="s">
        <v>235</v>
      </c>
      <c r="E9" s="17">
        <v>1975</v>
      </c>
      <c r="F9" s="17">
        <v>6485900</v>
      </c>
      <c r="G9" s="10"/>
      <c r="H9" s="10"/>
      <c r="I9" s="10"/>
      <c r="J9" s="10"/>
      <c r="K9" s="10"/>
      <c r="L9" s="10"/>
    </row>
    <row r="10" spans="1:16" s="11" customFormat="1">
      <c r="A10" s="10"/>
      <c r="B10" s="324" t="s">
        <v>97</v>
      </c>
      <c r="C10" s="325"/>
      <c r="D10" s="320"/>
      <c r="E10" s="38">
        <f>SUM(E6:E9)</f>
        <v>9640</v>
      </c>
      <c r="F10" s="38">
        <f>SUM(F6:F9)</f>
        <v>12605205</v>
      </c>
      <c r="G10" s="10"/>
      <c r="H10" s="10"/>
      <c r="I10" s="10"/>
      <c r="J10" s="10"/>
      <c r="K10" s="10"/>
      <c r="L10" s="10"/>
    </row>
    <row r="11" spans="1:16" s="11" customFormat="1">
      <c r="A11" s="72"/>
      <c r="B11" s="10"/>
      <c r="C11" s="10"/>
      <c r="D11" s="10"/>
      <c r="E11" s="10"/>
      <c r="F11" s="10"/>
      <c r="G11" s="10"/>
      <c r="H11" s="10"/>
      <c r="I11" s="10"/>
      <c r="J11" s="10"/>
      <c r="K11" s="10"/>
      <c r="L11" s="10"/>
    </row>
    <row r="12" spans="1:16" s="11" customFormat="1">
      <c r="A12" s="10"/>
      <c r="B12" s="9" t="s">
        <v>236</v>
      </c>
      <c r="C12" s="10"/>
      <c r="D12" s="10"/>
      <c r="E12" s="10"/>
      <c r="F12" s="10"/>
      <c r="G12" s="10"/>
      <c r="H12" s="10"/>
      <c r="I12" s="10"/>
      <c r="J12" s="10"/>
      <c r="K12" s="10"/>
      <c r="L12" s="10"/>
    </row>
    <row r="13" spans="1:16">
      <c r="A13" s="9"/>
      <c r="B13" s="9"/>
      <c r="C13" s="9"/>
      <c r="D13" s="9"/>
      <c r="E13" s="9"/>
      <c r="F13" s="9"/>
      <c r="G13" s="9"/>
      <c r="H13" s="9"/>
      <c r="I13" s="9"/>
      <c r="J13" s="9"/>
      <c r="K13" s="9"/>
      <c r="L13" s="9"/>
    </row>
    <row r="15" spans="1:16">
      <c r="A15" s="6" t="s">
        <v>4</v>
      </c>
      <c r="B15" s="9" t="s">
        <v>237</v>
      </c>
      <c r="C15" s="4"/>
      <c r="D15" s="4"/>
      <c r="E15" s="4"/>
      <c r="F15" s="4"/>
      <c r="G15" s="4"/>
      <c r="H15" s="4"/>
      <c r="I15" s="4"/>
      <c r="J15" s="4"/>
      <c r="K15" s="4"/>
      <c r="L15" s="4"/>
      <c r="M15" s="8"/>
      <c r="N15" s="8"/>
      <c r="O15" s="8"/>
      <c r="P15" s="8"/>
    </row>
    <row r="16" spans="1:16">
      <c r="A16" s="3"/>
      <c r="B16" s="3"/>
      <c r="C16" s="3"/>
      <c r="D16" s="3"/>
      <c r="E16" s="3"/>
      <c r="F16" s="3"/>
      <c r="G16" s="4"/>
      <c r="H16" s="4"/>
      <c r="I16" s="4"/>
      <c r="J16" s="4"/>
      <c r="K16" s="4"/>
      <c r="L16" s="4"/>
    </row>
    <row r="17" spans="1:14">
      <c r="A17" s="7"/>
      <c r="B17" s="7"/>
      <c r="C17" s="7"/>
      <c r="D17" s="7"/>
      <c r="E17" s="7"/>
      <c r="F17" s="7"/>
      <c r="G17" s="7"/>
      <c r="H17" s="7"/>
      <c r="I17" s="7"/>
      <c r="J17" s="7"/>
      <c r="K17" s="7"/>
      <c r="L17" s="7"/>
      <c r="M17" s="7"/>
    </row>
    <row r="18" spans="1:14">
      <c r="A18" s="7" t="s">
        <v>1</v>
      </c>
      <c r="B18" s="7"/>
      <c r="C18" s="7"/>
      <c r="D18" s="7"/>
      <c r="E18" s="7"/>
      <c r="F18" s="7"/>
      <c r="G18" s="7"/>
      <c r="H18" s="7"/>
      <c r="I18" s="7"/>
      <c r="J18" s="7"/>
      <c r="K18" s="7"/>
      <c r="L18" s="7"/>
      <c r="M18" s="7"/>
      <c r="N18" s="8"/>
    </row>
    <row r="19" spans="1:14">
      <c r="A19" s="7"/>
      <c r="B19" s="7"/>
      <c r="C19" s="7"/>
      <c r="D19" s="7"/>
      <c r="E19" s="7"/>
      <c r="F19" s="7"/>
      <c r="G19" s="7"/>
      <c r="H19" s="7"/>
      <c r="I19" s="7"/>
      <c r="J19" s="7"/>
      <c r="K19" s="7"/>
      <c r="L19" s="7"/>
      <c r="M19" s="7"/>
      <c r="N19" s="8"/>
    </row>
    <row r="20" spans="1:14">
      <c r="A20" s="93" t="s">
        <v>534</v>
      </c>
      <c r="B20" s="129"/>
      <c r="C20" s="129"/>
      <c r="D20" s="129"/>
      <c r="E20" s="129"/>
      <c r="F20" s="268">
        <f>F6+500*SUM(E7:E9)</f>
        <v>4421650</v>
      </c>
      <c r="G20" s="93"/>
      <c r="H20" s="7"/>
      <c r="I20" s="7"/>
      <c r="J20" s="7"/>
      <c r="K20" s="7"/>
      <c r="L20" s="7"/>
      <c r="M20" s="7"/>
      <c r="N20" s="8"/>
    </row>
    <row r="21" spans="1:14">
      <c r="A21" s="93" t="s">
        <v>535</v>
      </c>
      <c r="B21" s="129"/>
      <c r="C21" s="129"/>
      <c r="D21" s="129"/>
      <c r="E21" s="129"/>
      <c r="F21" s="268">
        <f>F10-F20</f>
        <v>8183555</v>
      </c>
      <c r="G21" s="93"/>
      <c r="H21" s="7"/>
      <c r="I21" s="7"/>
      <c r="J21" s="7"/>
      <c r="K21" s="7"/>
      <c r="L21" s="7"/>
      <c r="M21" s="7"/>
      <c r="N21" s="8"/>
    </row>
    <row r="22" spans="1:14">
      <c r="A22" s="93"/>
      <c r="B22" s="129"/>
      <c r="C22" s="129"/>
      <c r="D22" s="129"/>
      <c r="E22" s="129"/>
      <c r="F22" s="93"/>
      <c r="G22" s="93"/>
      <c r="H22" s="7"/>
      <c r="I22" s="7"/>
      <c r="J22" s="7"/>
      <c r="K22" s="7"/>
      <c r="L22" s="7"/>
      <c r="M22" s="7"/>
      <c r="N22" s="8"/>
    </row>
    <row r="23" spans="1:14">
      <c r="A23" s="93" t="s">
        <v>536</v>
      </c>
      <c r="B23" s="129"/>
      <c r="C23" s="129"/>
      <c r="D23" s="129"/>
      <c r="E23" s="129"/>
      <c r="F23" s="268">
        <f>F6+F7+1000*SUM(E8:E9)</f>
        <v>7072910</v>
      </c>
      <c r="G23" s="93"/>
      <c r="H23" s="7"/>
      <c r="I23" s="7"/>
      <c r="J23" s="7"/>
      <c r="K23" s="7"/>
      <c r="L23" s="7"/>
      <c r="M23" s="7"/>
      <c r="N23" s="8"/>
    </row>
    <row r="24" spans="1:14">
      <c r="A24" s="93" t="s">
        <v>537</v>
      </c>
      <c r="B24" s="129"/>
      <c r="C24" s="129"/>
      <c r="D24" s="129"/>
      <c r="E24" s="129"/>
      <c r="F24" s="268">
        <f>F10-F23</f>
        <v>5532295</v>
      </c>
      <c r="G24" s="93"/>
      <c r="H24" s="7"/>
      <c r="I24" s="7"/>
      <c r="J24" s="7"/>
      <c r="K24" s="7"/>
      <c r="L24" s="7"/>
      <c r="M24" s="7"/>
      <c r="N24" s="8"/>
    </row>
    <row r="25" spans="1:14">
      <c r="A25" s="93"/>
      <c r="B25" s="129"/>
      <c r="C25" s="129"/>
      <c r="D25" s="129"/>
      <c r="E25" s="129"/>
      <c r="F25" s="93"/>
      <c r="G25" s="93"/>
      <c r="H25" s="7"/>
      <c r="I25" s="7"/>
      <c r="J25" s="7"/>
      <c r="K25" s="7"/>
      <c r="L25" s="7"/>
      <c r="M25" s="7"/>
      <c r="N25" s="8"/>
    </row>
    <row r="26" spans="1:14">
      <c r="A26" s="93" t="s">
        <v>538</v>
      </c>
      <c r="B26" s="129"/>
      <c r="C26" s="129"/>
      <c r="D26" s="129"/>
      <c r="E26" s="129"/>
      <c r="F26" s="288">
        <f>F24/F21</f>
        <v>0.67602588361659455</v>
      </c>
      <c r="G26" s="93"/>
      <c r="H26" s="7"/>
      <c r="I26" s="7"/>
      <c r="J26" s="7"/>
      <c r="K26" s="7"/>
      <c r="L26" s="7"/>
      <c r="M26" s="7"/>
      <c r="N26" s="8"/>
    </row>
    <row r="28" spans="1:14">
      <c r="A28" s="6" t="s">
        <v>5</v>
      </c>
      <c r="B28" s="9" t="s">
        <v>238</v>
      </c>
      <c r="C28" s="4"/>
      <c r="D28" s="4"/>
      <c r="E28" s="4"/>
      <c r="F28" s="4"/>
      <c r="G28" s="4"/>
      <c r="H28" s="4"/>
      <c r="I28" s="4"/>
      <c r="J28" s="4"/>
      <c r="K28" s="4"/>
      <c r="L28" s="4"/>
    </row>
    <row r="29" spans="1:14">
      <c r="A29" s="3"/>
      <c r="B29" s="3"/>
      <c r="C29" s="3"/>
      <c r="D29" s="3"/>
      <c r="E29" s="3"/>
      <c r="F29" s="3"/>
      <c r="G29" s="4"/>
      <c r="H29" s="4"/>
      <c r="I29" s="4"/>
      <c r="J29" s="4"/>
      <c r="K29" s="4"/>
      <c r="L29" s="4"/>
    </row>
    <row r="30" spans="1:14">
      <c r="A30" s="7"/>
      <c r="B30" s="7"/>
      <c r="C30" s="7"/>
      <c r="D30" s="7"/>
      <c r="E30" s="7"/>
      <c r="F30" s="7"/>
      <c r="G30" s="7"/>
      <c r="H30" s="7"/>
      <c r="I30" s="7"/>
      <c r="J30" s="7"/>
      <c r="K30" s="7"/>
      <c r="L30" s="7"/>
    </row>
    <row r="31" spans="1:14">
      <c r="A31" s="7" t="s">
        <v>1</v>
      </c>
      <c r="B31" s="7"/>
      <c r="C31" s="7"/>
      <c r="D31" s="7"/>
      <c r="E31" s="7"/>
      <c r="F31" s="7"/>
      <c r="G31" s="7"/>
      <c r="H31" s="7"/>
      <c r="I31" s="7"/>
      <c r="J31" s="7"/>
      <c r="K31" s="7"/>
      <c r="L31" s="7"/>
    </row>
    <row r="32" spans="1:14">
      <c r="A32" s="7"/>
      <c r="B32" s="7"/>
      <c r="C32" s="7"/>
      <c r="D32" s="7"/>
      <c r="E32" s="7"/>
      <c r="F32" s="7"/>
      <c r="G32" s="7"/>
      <c r="H32" s="7"/>
      <c r="I32" s="7"/>
      <c r="J32" s="7"/>
      <c r="K32" s="7"/>
      <c r="L32" s="7"/>
    </row>
    <row r="33" spans="1:13">
      <c r="A33" s="93" t="s">
        <v>539</v>
      </c>
      <c r="B33" s="93"/>
      <c r="C33" s="93"/>
      <c r="D33" s="93"/>
      <c r="E33" s="93"/>
      <c r="F33" s="93"/>
      <c r="G33" s="93"/>
      <c r="H33" s="129"/>
      <c r="I33" s="7"/>
      <c r="J33" s="7"/>
      <c r="K33" s="7"/>
      <c r="L33" s="7"/>
    </row>
    <row r="34" spans="1:13">
      <c r="A34" s="93" t="s">
        <v>540</v>
      </c>
      <c r="B34" s="129"/>
      <c r="C34" s="129"/>
      <c r="D34" s="129"/>
      <c r="E34" s="129"/>
      <c r="F34" s="268">
        <f>SUM(F6:F8)+2000*E9</f>
        <v>10069305</v>
      </c>
      <c r="G34" s="93"/>
      <c r="H34" s="93"/>
      <c r="I34" s="7"/>
      <c r="J34" s="7"/>
      <c r="K34" s="7"/>
      <c r="L34" s="7"/>
    </row>
    <row r="35" spans="1:13">
      <c r="A35" s="93" t="s">
        <v>541</v>
      </c>
      <c r="B35" s="129"/>
      <c r="C35" s="129"/>
      <c r="D35" s="129"/>
      <c r="E35" s="129"/>
      <c r="F35" s="268">
        <f>F10-F34</f>
        <v>2535900</v>
      </c>
      <c r="G35" s="93"/>
      <c r="H35" s="93"/>
      <c r="I35" s="7"/>
      <c r="J35" s="7"/>
      <c r="K35" s="7"/>
      <c r="L35" s="7"/>
    </row>
    <row r="36" spans="1:13">
      <c r="A36" s="93"/>
      <c r="B36" s="93"/>
      <c r="C36" s="93"/>
      <c r="D36" s="93"/>
      <c r="E36" s="93"/>
      <c r="F36" s="93"/>
      <c r="G36" s="129"/>
      <c r="H36" s="129"/>
      <c r="I36" s="7"/>
      <c r="J36" s="7"/>
      <c r="K36" s="7"/>
      <c r="L36" s="7"/>
    </row>
    <row r="37" spans="1:13">
      <c r="A37" s="93" t="s">
        <v>538</v>
      </c>
      <c r="B37" s="129"/>
      <c r="C37" s="129"/>
      <c r="D37" s="288">
        <f>F35/F21</f>
        <v>0.30987755321495364</v>
      </c>
      <c r="E37" s="93"/>
      <c r="F37" s="93"/>
      <c r="G37" s="129"/>
      <c r="H37" s="129"/>
      <c r="I37" s="7"/>
      <c r="J37" s="7"/>
      <c r="K37" s="7"/>
      <c r="L37" s="7"/>
    </row>
    <row r="38" spans="1:13">
      <c r="A38" s="93"/>
      <c r="B38" s="93"/>
      <c r="C38" s="93"/>
      <c r="D38" s="93"/>
      <c r="E38" s="93"/>
      <c r="F38" s="93"/>
      <c r="G38" s="93"/>
      <c r="H38" s="129"/>
      <c r="I38" s="7"/>
      <c r="J38" s="7"/>
      <c r="K38" s="7"/>
      <c r="L38" s="7"/>
    </row>
    <row r="39" spans="1:13">
      <c r="A39" s="93" t="s">
        <v>544</v>
      </c>
      <c r="B39" s="93"/>
      <c r="C39" s="93"/>
      <c r="D39" s="93"/>
      <c r="E39" s="93"/>
      <c r="F39" s="93"/>
      <c r="G39" s="93"/>
      <c r="H39" s="129"/>
      <c r="I39" s="7"/>
      <c r="J39" s="7"/>
      <c r="K39" s="7"/>
      <c r="L39" s="7"/>
    </row>
    <row r="40" spans="1:13">
      <c r="A40" s="93"/>
      <c r="B40" s="93"/>
      <c r="C40" s="93"/>
      <c r="D40" s="93"/>
      <c r="E40" s="93"/>
      <c r="F40" s="93"/>
      <c r="G40" s="93"/>
      <c r="H40" s="129"/>
      <c r="I40" s="7"/>
      <c r="J40" s="7"/>
      <c r="K40" s="7"/>
      <c r="L40" s="7"/>
    </row>
    <row r="41" spans="1:13">
      <c r="A41" s="93" t="s">
        <v>542</v>
      </c>
      <c r="B41" s="93"/>
      <c r="C41" s="93"/>
      <c r="D41" s="93"/>
      <c r="E41"/>
      <c r="F41" s="93"/>
      <c r="G41" s="93"/>
      <c r="H41" s="129"/>
      <c r="I41" s="7"/>
      <c r="J41" s="7"/>
      <c r="K41" s="7"/>
      <c r="L41" s="7"/>
    </row>
    <row r="42" spans="1:13">
      <c r="A42" s="93" t="s">
        <v>545</v>
      </c>
      <c r="B42" s="233"/>
      <c r="C42" s="93"/>
      <c r="D42" s="93"/>
      <c r="E42" s="93"/>
      <c r="F42" s="93"/>
      <c r="G42" s="93"/>
      <c r="H42" s="129"/>
      <c r="I42" s="7"/>
      <c r="J42" s="7"/>
      <c r="K42" s="7"/>
      <c r="L42" s="7"/>
    </row>
    <row r="43" spans="1:13">
      <c r="A43" s="93" t="s">
        <v>550</v>
      </c>
      <c r="B43" s="129"/>
      <c r="C43" s="93"/>
      <c r="D43" s="129"/>
      <c r="F43" s="93"/>
      <c r="G43" s="93"/>
      <c r="H43" s="129"/>
      <c r="I43" s="233" t="s">
        <v>546</v>
      </c>
      <c r="J43" s="7"/>
      <c r="K43" s="7"/>
      <c r="L43" s="7"/>
    </row>
    <row r="44" spans="1:13">
      <c r="A44" s="233" t="s">
        <v>547</v>
      </c>
      <c r="B44" s="93"/>
      <c r="C44" s="93"/>
      <c r="D44" s="289">
        <f>2*F26-1</f>
        <v>0.35205176723318909</v>
      </c>
      <c r="E44" s="93"/>
      <c r="G44" s="93"/>
      <c r="H44" s="129"/>
      <c r="M44" s="7"/>
    </row>
    <row r="45" spans="1:13">
      <c r="A45" s="93"/>
      <c r="B45" s="93"/>
      <c r="C45" s="93"/>
      <c r="D45" s="93"/>
      <c r="E45" s="93"/>
      <c r="F45" s="93"/>
      <c r="G45" s="93"/>
      <c r="H45" s="129"/>
      <c r="M45" s="7"/>
    </row>
    <row r="46" spans="1:13">
      <c r="A46" s="93" t="s">
        <v>551</v>
      </c>
      <c r="B46" s="129"/>
      <c r="C46" s="93"/>
      <c r="D46" s="93"/>
      <c r="E46" s="93"/>
      <c r="F46" s="93"/>
      <c r="G46" s="93"/>
      <c r="H46" s="129"/>
      <c r="M46" s="7"/>
    </row>
    <row r="47" spans="1:13">
      <c r="A47" s="233" t="s">
        <v>548</v>
      </c>
      <c r="B47" s="93"/>
      <c r="C47" s="93"/>
      <c r="D47" s="289">
        <f>(F26+D37)/2</f>
        <v>0.49295171841577412</v>
      </c>
      <c r="E47" s="93"/>
      <c r="G47" s="129"/>
      <c r="H47" s="129"/>
    </row>
    <row r="48" spans="1:13">
      <c r="A48" s="93"/>
      <c r="B48" s="93"/>
      <c r="C48" s="93"/>
      <c r="D48" s="93"/>
      <c r="E48" s="93"/>
      <c r="F48" s="93"/>
      <c r="G48" s="93"/>
      <c r="H48" s="129"/>
    </row>
    <row r="49" spans="1:12">
      <c r="A49" s="93" t="s">
        <v>549</v>
      </c>
      <c r="B49" s="93"/>
      <c r="C49" s="93"/>
      <c r="D49" s="93"/>
      <c r="E49" s="93"/>
      <c r="F49" s="93"/>
      <c r="G49" s="93"/>
      <c r="H49" s="129"/>
    </row>
    <row r="51" spans="1:12">
      <c r="A51" s="6" t="s">
        <v>0</v>
      </c>
      <c r="B51" s="293" t="s">
        <v>239</v>
      </c>
      <c r="C51" s="293"/>
      <c r="D51" s="293"/>
      <c r="E51" s="293"/>
      <c r="F51" s="293"/>
      <c r="G51" s="293"/>
      <c r="H51" s="293"/>
      <c r="I51" s="293"/>
      <c r="J51" s="293"/>
      <c r="K51" s="293"/>
      <c r="L51" s="4"/>
    </row>
    <row r="52" spans="1:12">
      <c r="A52" s="6"/>
      <c r="B52" s="293"/>
      <c r="C52" s="293"/>
      <c r="D52" s="293"/>
      <c r="E52" s="293"/>
      <c r="F52" s="293"/>
      <c r="G52" s="293"/>
      <c r="H52" s="293"/>
      <c r="I52" s="293"/>
      <c r="J52" s="293"/>
      <c r="K52" s="293"/>
      <c r="L52" s="4"/>
    </row>
    <row r="53" spans="1:12">
      <c r="A53" s="3"/>
      <c r="B53" s="3"/>
      <c r="C53" s="3"/>
      <c r="D53" s="3"/>
      <c r="E53" s="3"/>
      <c r="F53" s="3"/>
      <c r="G53" s="4"/>
      <c r="H53" s="4"/>
      <c r="I53" s="4"/>
      <c r="J53" s="4"/>
      <c r="K53" s="4"/>
      <c r="L53" s="4"/>
    </row>
    <row r="54" spans="1:12">
      <c r="A54" s="7"/>
      <c r="B54" s="7"/>
      <c r="C54" s="7"/>
      <c r="D54" s="7"/>
      <c r="E54" s="7"/>
      <c r="F54" s="7"/>
      <c r="G54" s="7"/>
      <c r="H54" s="7"/>
      <c r="I54" s="7"/>
      <c r="J54" s="7"/>
      <c r="K54" s="7"/>
      <c r="L54" s="7"/>
    </row>
    <row r="55" spans="1:12">
      <c r="A55" s="7" t="s">
        <v>1</v>
      </c>
      <c r="B55" s="7"/>
      <c r="C55" s="7"/>
      <c r="D55" s="7"/>
      <c r="E55" s="7"/>
      <c r="F55" s="7"/>
      <c r="G55" s="7"/>
      <c r="H55" s="7"/>
      <c r="I55" s="7"/>
      <c r="J55" s="7"/>
      <c r="K55" s="7"/>
      <c r="L55" s="7"/>
    </row>
    <row r="56" spans="1:12">
      <c r="A56" s="7"/>
      <c r="B56" s="7"/>
      <c r="C56" s="7"/>
      <c r="D56" s="7"/>
      <c r="E56" s="7"/>
      <c r="F56" s="7"/>
      <c r="G56" s="7"/>
      <c r="H56" s="7"/>
      <c r="I56" s="7"/>
      <c r="J56" s="7"/>
      <c r="K56" s="7"/>
      <c r="L56" s="7"/>
    </row>
    <row r="57" spans="1:12">
      <c r="A57" s="7" t="s">
        <v>555</v>
      </c>
      <c r="B57" s="7"/>
      <c r="C57" s="7"/>
      <c r="D57" s="7"/>
      <c r="E57" s="7"/>
      <c r="F57" s="7"/>
      <c r="G57" s="7"/>
      <c r="H57" s="7"/>
      <c r="I57" s="7"/>
      <c r="J57" s="7"/>
      <c r="K57" s="7"/>
      <c r="L57" s="7"/>
    </row>
    <row r="59" spans="1:12">
      <c r="A59" s="6" t="s">
        <v>2</v>
      </c>
      <c r="B59" s="293" t="s">
        <v>240</v>
      </c>
      <c r="C59" s="293"/>
      <c r="D59" s="293"/>
      <c r="E59" s="293"/>
      <c r="F59" s="293"/>
      <c r="G59" s="293"/>
      <c r="H59" s="293"/>
      <c r="I59" s="293"/>
      <c r="J59" s="293"/>
      <c r="K59" s="293"/>
      <c r="L59" s="4"/>
    </row>
    <row r="60" spans="1:12">
      <c r="A60" s="6"/>
      <c r="B60" s="293"/>
      <c r="C60" s="293"/>
      <c r="D60" s="293"/>
      <c r="E60" s="293"/>
      <c r="F60" s="293"/>
      <c r="G60" s="293"/>
      <c r="H60" s="293"/>
      <c r="I60" s="293"/>
      <c r="J60" s="293"/>
      <c r="K60" s="293"/>
      <c r="L60" s="4"/>
    </row>
    <row r="61" spans="1:12">
      <c r="A61" s="3"/>
      <c r="B61" s="3"/>
      <c r="C61" s="3"/>
      <c r="D61" s="3"/>
      <c r="E61" s="3"/>
      <c r="F61" s="3"/>
      <c r="G61" s="4"/>
      <c r="H61" s="4"/>
      <c r="I61" s="4"/>
      <c r="J61" s="4"/>
      <c r="K61" s="4"/>
      <c r="L61" s="4"/>
    </row>
    <row r="62" spans="1:12">
      <c r="A62" s="7"/>
      <c r="B62" s="7"/>
      <c r="C62" s="7"/>
      <c r="D62" s="7"/>
      <c r="E62" s="7"/>
      <c r="F62" s="7"/>
      <c r="G62" s="7"/>
      <c r="H62" s="7"/>
      <c r="I62" s="7"/>
      <c r="J62" s="7"/>
      <c r="K62" s="7"/>
      <c r="L62" s="7"/>
    </row>
    <row r="63" spans="1:12">
      <c r="A63" s="7" t="s">
        <v>1</v>
      </c>
      <c r="B63" s="7"/>
      <c r="C63" s="7"/>
      <c r="D63" s="7"/>
      <c r="E63" s="7"/>
      <c r="F63" s="7"/>
      <c r="G63" s="7"/>
      <c r="H63" s="7"/>
      <c r="I63" s="7"/>
      <c r="J63" s="7"/>
      <c r="K63" s="7"/>
      <c r="L63" s="7"/>
    </row>
    <row r="64" spans="1:12">
      <c r="A64" s="7"/>
      <c r="B64" s="7"/>
      <c r="C64" s="7"/>
      <c r="D64" s="7"/>
      <c r="E64" s="7"/>
      <c r="F64" s="7"/>
      <c r="G64" s="7"/>
      <c r="H64" s="7"/>
      <c r="I64" s="7"/>
      <c r="J64" s="7"/>
      <c r="K64" s="7"/>
      <c r="L64" s="7"/>
    </row>
    <row r="65" spans="1:13">
      <c r="A65" s="7" t="s">
        <v>543</v>
      </c>
      <c r="B65" s="7"/>
      <c r="C65" s="7"/>
      <c r="D65" s="7"/>
      <c r="E65" s="7"/>
      <c r="F65" s="7"/>
      <c r="G65" s="7"/>
      <c r="H65" s="7"/>
      <c r="I65" s="7"/>
      <c r="J65" s="7"/>
      <c r="K65" s="7"/>
      <c r="L65" s="7"/>
    </row>
    <row r="68" spans="1:13">
      <c r="M68" s="7"/>
    </row>
    <row r="69" spans="1:13">
      <c r="M69" s="7"/>
    </row>
  </sheetData>
  <mergeCells count="4">
    <mergeCell ref="B5:D5"/>
    <mergeCell ref="B10:D10"/>
    <mergeCell ref="B51:K52"/>
    <mergeCell ref="B59:K60"/>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6AAE2-4E1A-4A26-87A0-2569C7E9595D}">
  <dimension ref="A1:R101"/>
  <sheetViews>
    <sheetView zoomScaleNormal="100" workbookViewId="0"/>
  </sheetViews>
  <sheetFormatPr defaultColWidth="8.88671875" defaultRowHeight="15.6"/>
  <cols>
    <col min="1" max="1" width="8.88671875" style="1" customWidth="1"/>
    <col min="2" max="2" width="10.6640625" style="1" customWidth="1"/>
    <col min="3" max="3" width="14.33203125" style="1" customWidth="1"/>
    <col min="4" max="4" width="15.33203125" style="1" customWidth="1"/>
    <col min="5" max="12" width="14.33203125" style="1" customWidth="1"/>
    <col min="13" max="16384" width="8.88671875" style="1"/>
  </cols>
  <sheetData>
    <row r="1" spans="1:12" ht="17.399999999999999">
      <c r="A1" s="2" t="s">
        <v>28</v>
      </c>
      <c r="B1" s="4"/>
      <c r="C1" s="9" t="s">
        <v>29</v>
      </c>
      <c r="D1" s="4"/>
      <c r="E1" s="4"/>
      <c r="F1" s="4"/>
      <c r="G1" s="4"/>
      <c r="H1" s="4"/>
      <c r="I1" s="4"/>
      <c r="J1" s="4"/>
      <c r="K1" s="4"/>
      <c r="L1" s="3"/>
    </row>
    <row r="2" spans="1:12">
      <c r="A2" s="4"/>
      <c r="B2" s="4"/>
      <c r="C2" s="4"/>
      <c r="D2" s="4"/>
      <c r="E2" s="4"/>
      <c r="F2" s="4"/>
      <c r="G2" s="4"/>
      <c r="H2" s="4"/>
      <c r="I2" s="4"/>
      <c r="J2" s="4"/>
      <c r="K2" s="4"/>
      <c r="L2" s="3"/>
    </row>
    <row r="3" spans="1:12">
      <c r="A3" s="12" t="s">
        <v>30</v>
      </c>
      <c r="B3" s="12"/>
      <c r="C3" s="12"/>
      <c r="D3" s="12"/>
      <c r="E3" s="12"/>
      <c r="F3" s="12"/>
      <c r="G3" s="12"/>
      <c r="H3" s="12"/>
      <c r="I3" s="12"/>
      <c r="J3" s="12"/>
      <c r="K3" s="4"/>
      <c r="L3" s="3"/>
    </row>
    <row r="4" spans="1:12" s="11" customFormat="1">
      <c r="A4" s="13"/>
      <c r="B4" s="12"/>
      <c r="C4" s="12"/>
      <c r="D4" s="12"/>
      <c r="E4" s="12"/>
      <c r="F4" s="12"/>
      <c r="G4" s="12"/>
      <c r="H4" s="10"/>
      <c r="I4" s="10"/>
      <c r="J4" s="10"/>
      <c r="K4" s="10"/>
      <c r="L4" s="10"/>
    </row>
    <row r="5" spans="1:12" s="11" customFormat="1" ht="16.2" customHeight="1">
      <c r="A5" s="13"/>
      <c r="B5" s="25" t="s">
        <v>31</v>
      </c>
      <c r="C5" s="296" t="s">
        <v>33</v>
      </c>
      <c r="D5" s="297"/>
      <c r="E5" s="297"/>
      <c r="F5" s="297"/>
      <c r="G5" s="27"/>
      <c r="H5" s="25" t="s">
        <v>31</v>
      </c>
      <c r="I5" s="296" t="s">
        <v>35</v>
      </c>
      <c r="J5" s="297"/>
      <c r="K5" s="297"/>
      <c r="L5" s="297"/>
    </row>
    <row r="6" spans="1:12" s="11" customFormat="1">
      <c r="A6" s="13"/>
      <c r="B6" s="26" t="s">
        <v>32</v>
      </c>
      <c r="C6" s="23">
        <v>12</v>
      </c>
      <c r="D6" s="15">
        <v>24</v>
      </c>
      <c r="E6" s="15">
        <v>36</v>
      </c>
      <c r="F6" s="15">
        <v>48</v>
      </c>
      <c r="G6" s="27"/>
      <c r="H6" s="26" t="s">
        <v>32</v>
      </c>
      <c r="I6" s="23">
        <v>12</v>
      </c>
      <c r="J6" s="15">
        <v>24</v>
      </c>
      <c r="K6" s="15">
        <v>36</v>
      </c>
      <c r="L6" s="15">
        <v>48</v>
      </c>
    </row>
    <row r="7" spans="1:12" s="11" customFormat="1">
      <c r="A7" s="13"/>
      <c r="B7" s="24">
        <v>2018</v>
      </c>
      <c r="C7" s="22">
        <v>1196</v>
      </c>
      <c r="D7" s="22">
        <v>1525</v>
      </c>
      <c r="E7" s="22">
        <v>1638</v>
      </c>
      <c r="F7" s="22">
        <v>1723</v>
      </c>
      <c r="G7" s="27"/>
      <c r="H7" s="24">
        <v>2018</v>
      </c>
      <c r="I7" s="22">
        <v>230</v>
      </c>
      <c r="J7" s="22">
        <v>250</v>
      </c>
      <c r="K7" s="22">
        <v>260</v>
      </c>
      <c r="L7" s="22">
        <v>265</v>
      </c>
    </row>
    <row r="8" spans="1:12" s="11" customFormat="1">
      <c r="A8" s="13"/>
      <c r="B8" s="21">
        <v>2019</v>
      </c>
      <c r="C8" s="22">
        <v>1269</v>
      </c>
      <c r="D8" s="22">
        <v>1607</v>
      </c>
      <c r="E8" s="22">
        <v>1908</v>
      </c>
      <c r="F8" s="21"/>
      <c r="G8" s="27"/>
      <c r="H8" s="21">
        <v>2019</v>
      </c>
      <c r="I8" s="22">
        <v>235</v>
      </c>
      <c r="J8" s="22">
        <v>255</v>
      </c>
      <c r="K8" s="22">
        <v>265</v>
      </c>
      <c r="L8" s="21"/>
    </row>
    <row r="9" spans="1:12" s="11" customFormat="1">
      <c r="A9" s="12"/>
      <c r="B9" s="21">
        <v>2020</v>
      </c>
      <c r="C9" s="22">
        <v>1294</v>
      </c>
      <c r="D9" s="22">
        <v>1707</v>
      </c>
      <c r="E9" s="21"/>
      <c r="F9" s="21"/>
      <c r="G9" s="27"/>
      <c r="H9" s="21">
        <v>2020</v>
      </c>
      <c r="I9" s="22">
        <v>231</v>
      </c>
      <c r="J9" s="22">
        <v>251</v>
      </c>
      <c r="K9" s="21"/>
      <c r="L9" s="21"/>
    </row>
    <row r="10" spans="1:12" s="11" customFormat="1">
      <c r="A10" s="12"/>
      <c r="B10" s="21">
        <v>2021</v>
      </c>
      <c r="C10" s="22">
        <v>1451</v>
      </c>
      <c r="D10" s="21"/>
      <c r="E10" s="21"/>
      <c r="F10" s="21"/>
      <c r="G10" s="27"/>
      <c r="H10" s="21">
        <v>2021</v>
      </c>
      <c r="I10" s="22">
        <v>234</v>
      </c>
      <c r="J10" s="21"/>
      <c r="K10" s="21"/>
      <c r="L10" s="21"/>
    </row>
    <row r="11" spans="1:12" s="11" customFormat="1">
      <c r="A11" s="13"/>
      <c r="B11" s="12"/>
      <c r="C11" s="12"/>
      <c r="D11" s="12"/>
      <c r="E11" s="12"/>
      <c r="F11" s="12"/>
      <c r="G11" s="12"/>
      <c r="H11" s="10"/>
      <c r="I11" s="10"/>
      <c r="J11" s="10"/>
      <c r="K11" s="10"/>
      <c r="L11" s="10"/>
    </row>
    <row r="12" spans="1:12" s="11" customFormat="1">
      <c r="A12" s="12" t="s">
        <v>36</v>
      </c>
      <c r="B12" s="12"/>
      <c r="C12" s="12"/>
      <c r="D12" s="12"/>
      <c r="E12" s="12"/>
      <c r="F12" s="12"/>
      <c r="G12" s="12"/>
      <c r="H12" s="10"/>
      <c r="I12" s="10"/>
      <c r="J12" s="10"/>
      <c r="K12" s="10"/>
      <c r="L12" s="10"/>
    </row>
    <row r="13" spans="1:12" s="11" customFormat="1">
      <c r="A13" s="12"/>
      <c r="B13" s="12"/>
      <c r="C13" s="12"/>
      <c r="D13" s="12"/>
      <c r="E13" s="12"/>
      <c r="F13" s="12"/>
      <c r="G13" s="12"/>
      <c r="H13" s="10"/>
      <c r="I13" s="10"/>
      <c r="J13" s="10"/>
      <c r="K13" s="10"/>
      <c r="L13" s="10"/>
    </row>
    <row r="14" spans="1:12" ht="15.6" customHeight="1">
      <c r="A14" s="12"/>
      <c r="B14" s="25" t="s">
        <v>37</v>
      </c>
      <c r="C14" s="297" t="s">
        <v>39</v>
      </c>
      <c r="D14" s="298" t="s">
        <v>40</v>
      </c>
      <c r="E14" s="302" t="s">
        <v>41</v>
      </c>
      <c r="F14" s="303"/>
      <c r="G14" s="296" t="s">
        <v>43</v>
      </c>
      <c r="H14" s="299" t="s">
        <v>44</v>
      </c>
      <c r="I14" s="299" t="s">
        <v>45</v>
      </c>
      <c r="J14" s="299" t="s">
        <v>46</v>
      </c>
      <c r="K14" s="9"/>
      <c r="L14" s="9"/>
    </row>
    <row r="15" spans="1:12">
      <c r="A15" s="12"/>
      <c r="B15" s="26" t="s">
        <v>38</v>
      </c>
      <c r="C15" s="297"/>
      <c r="D15" s="298"/>
      <c r="E15" s="304" t="s">
        <v>42</v>
      </c>
      <c r="F15" s="305"/>
      <c r="G15" s="296"/>
      <c r="H15" s="300"/>
      <c r="I15" s="300"/>
      <c r="J15" s="300"/>
      <c r="K15" s="9"/>
      <c r="L15" s="9"/>
    </row>
    <row r="16" spans="1:12">
      <c r="A16" s="9"/>
      <c r="B16" s="21">
        <v>1</v>
      </c>
      <c r="C16" s="21">
        <v>1020</v>
      </c>
      <c r="D16" s="71">
        <v>43602</v>
      </c>
      <c r="E16" s="306" t="s">
        <v>47</v>
      </c>
      <c r="F16" s="306"/>
      <c r="G16" s="71">
        <v>43217</v>
      </c>
      <c r="H16" s="21">
        <v>10</v>
      </c>
      <c r="I16" s="21">
        <v>5</v>
      </c>
      <c r="J16" s="21"/>
      <c r="K16" s="9"/>
      <c r="L16" s="9"/>
    </row>
    <row r="17" spans="1:18">
      <c r="A17" s="9"/>
      <c r="B17" s="21">
        <v>2</v>
      </c>
      <c r="C17" s="21">
        <v>1377</v>
      </c>
      <c r="D17" s="71">
        <v>43772</v>
      </c>
      <c r="E17" s="306" t="s">
        <v>48</v>
      </c>
      <c r="F17" s="306"/>
      <c r="G17" s="71">
        <v>43723</v>
      </c>
      <c r="H17" s="21"/>
      <c r="I17" s="21">
        <v>50</v>
      </c>
      <c r="J17" s="21">
        <v>25</v>
      </c>
      <c r="K17" s="9"/>
      <c r="L17" s="9"/>
    </row>
    <row r="18" spans="1:18">
      <c r="A18" s="9"/>
      <c r="B18" s="21">
        <v>3</v>
      </c>
      <c r="C18" s="21">
        <v>1944</v>
      </c>
      <c r="D18" s="71">
        <v>44198</v>
      </c>
      <c r="E18" s="306" t="s">
        <v>49</v>
      </c>
      <c r="F18" s="306"/>
      <c r="G18" s="71">
        <v>43723</v>
      </c>
      <c r="H18" s="21">
        <v>-25</v>
      </c>
      <c r="I18" s="21">
        <v>10</v>
      </c>
      <c r="J18" s="21">
        <v>5</v>
      </c>
      <c r="K18" s="9"/>
      <c r="L18" s="9"/>
    </row>
    <row r="19" spans="1:18">
      <c r="A19" s="9"/>
      <c r="B19" s="21">
        <v>4</v>
      </c>
      <c r="C19" s="21">
        <v>2135</v>
      </c>
      <c r="D19" s="71">
        <v>44255</v>
      </c>
      <c r="E19" s="306" t="s">
        <v>50</v>
      </c>
      <c r="F19" s="306"/>
      <c r="G19" s="71">
        <v>43836</v>
      </c>
      <c r="H19" s="21">
        <v>65</v>
      </c>
      <c r="I19" s="21"/>
      <c r="J19" s="21"/>
      <c r="K19" s="9"/>
      <c r="L19" s="9"/>
    </row>
    <row r="20" spans="1:18">
      <c r="A20" s="9"/>
      <c r="B20" s="21">
        <v>5</v>
      </c>
      <c r="C20" s="21">
        <v>2260</v>
      </c>
      <c r="D20" s="71">
        <v>44310</v>
      </c>
      <c r="E20" s="306" t="s">
        <v>47</v>
      </c>
      <c r="F20" s="306"/>
      <c r="G20" s="71">
        <v>43134</v>
      </c>
      <c r="H20" s="21">
        <v>20</v>
      </c>
      <c r="I20" s="21"/>
      <c r="J20" s="21"/>
      <c r="K20" s="9"/>
      <c r="L20" s="9"/>
    </row>
    <row r="21" spans="1:18">
      <c r="A21" s="9"/>
      <c r="B21" s="21">
        <v>6</v>
      </c>
      <c r="C21" s="21">
        <v>2260</v>
      </c>
      <c r="D21" s="71">
        <v>44352</v>
      </c>
      <c r="E21" s="306" t="s">
        <v>49</v>
      </c>
      <c r="F21" s="306"/>
      <c r="G21" s="71">
        <v>43134</v>
      </c>
      <c r="H21" s="21">
        <v>-20</v>
      </c>
      <c r="I21" s="21"/>
      <c r="J21" s="21">
        <v>20</v>
      </c>
      <c r="K21" s="9"/>
      <c r="L21" s="9"/>
    </row>
    <row r="22" spans="1:18">
      <c r="A22" s="9"/>
      <c r="B22" s="9"/>
      <c r="C22" s="9"/>
      <c r="D22" s="9"/>
      <c r="E22" s="9"/>
      <c r="F22" s="9"/>
      <c r="G22" s="9"/>
      <c r="H22" s="9"/>
      <c r="I22" s="9"/>
      <c r="J22" s="9"/>
      <c r="K22" s="9"/>
      <c r="L22" s="9"/>
    </row>
    <row r="24" spans="1:18">
      <c r="A24" s="6" t="s">
        <v>4</v>
      </c>
      <c r="B24" s="9" t="s">
        <v>51</v>
      </c>
      <c r="C24" s="4"/>
      <c r="D24" s="4"/>
      <c r="E24" s="4"/>
      <c r="F24" s="4"/>
      <c r="G24" s="4"/>
      <c r="H24" s="4"/>
      <c r="I24" s="4"/>
      <c r="J24" s="4"/>
      <c r="K24" s="4"/>
      <c r="L24" s="4"/>
      <c r="M24" s="8"/>
      <c r="N24" s="8"/>
      <c r="O24" s="8"/>
      <c r="P24" s="8"/>
      <c r="Q24" s="8"/>
      <c r="R24" s="8"/>
    </row>
    <row r="25" spans="1:18">
      <c r="A25" s="3"/>
      <c r="B25" s="3"/>
      <c r="C25" s="3"/>
      <c r="D25" s="3"/>
      <c r="E25" s="3"/>
      <c r="F25" s="3"/>
      <c r="G25" s="4"/>
      <c r="H25" s="4"/>
      <c r="I25" s="4"/>
      <c r="J25" s="4"/>
      <c r="K25" s="4"/>
      <c r="L25" s="4"/>
    </row>
    <row r="26" spans="1:18">
      <c r="A26" s="7"/>
      <c r="B26" s="7"/>
      <c r="C26" s="7"/>
      <c r="D26" s="7"/>
      <c r="E26" s="7"/>
      <c r="F26" s="7"/>
      <c r="G26" s="7"/>
      <c r="H26" s="7"/>
      <c r="I26" s="7"/>
      <c r="J26" s="7"/>
      <c r="K26" s="7"/>
      <c r="L26" s="7"/>
      <c r="M26" s="7"/>
    </row>
    <row r="27" spans="1:18">
      <c r="A27" s="7" t="s">
        <v>1</v>
      </c>
      <c r="B27" s="7"/>
      <c r="C27" s="7"/>
      <c r="D27" s="7"/>
      <c r="E27" s="7"/>
      <c r="F27" s="7"/>
      <c r="G27" s="7"/>
      <c r="H27" s="7"/>
      <c r="I27" s="7"/>
      <c r="J27" s="7"/>
      <c r="K27" s="7"/>
      <c r="L27" s="7"/>
      <c r="M27" s="7"/>
      <c r="N27" s="8"/>
    </row>
    <row r="28" spans="1:18">
      <c r="A28" s="7"/>
      <c r="B28" s="7"/>
      <c r="C28" s="7"/>
      <c r="D28" s="7"/>
      <c r="E28" s="7"/>
      <c r="F28" s="7"/>
      <c r="G28" s="7"/>
      <c r="H28" s="7"/>
      <c r="I28" s="7"/>
      <c r="J28" s="7"/>
      <c r="K28" s="7"/>
      <c r="L28" s="7"/>
      <c r="M28" s="7"/>
      <c r="N28" s="8"/>
    </row>
    <row r="29" spans="1:18" ht="15.6" customHeight="1">
      <c r="A29" s="7"/>
      <c r="B29" s="218" t="s">
        <v>31</v>
      </c>
      <c r="C29" s="301" t="s">
        <v>330</v>
      </c>
      <c r="D29" s="301"/>
      <c r="E29" s="301"/>
      <c r="F29" s="301"/>
      <c r="G29" s="81"/>
      <c r="H29" s="218" t="s">
        <v>31</v>
      </c>
      <c r="I29" s="301" t="s">
        <v>328</v>
      </c>
      <c r="J29" s="301"/>
      <c r="K29" s="301"/>
      <c r="L29" s="301"/>
      <c r="M29" s="7"/>
      <c r="N29" s="8"/>
    </row>
    <row r="30" spans="1:18">
      <c r="A30" s="7"/>
      <c r="B30" s="222" t="s">
        <v>32</v>
      </c>
      <c r="C30" s="222">
        <v>12</v>
      </c>
      <c r="D30" s="222">
        <v>24</v>
      </c>
      <c r="E30" s="222">
        <v>36</v>
      </c>
      <c r="F30" s="222">
        <v>48</v>
      </c>
      <c r="G30" s="81"/>
      <c r="H30" s="222" t="s">
        <v>32</v>
      </c>
      <c r="I30" s="222">
        <v>12</v>
      </c>
      <c r="J30" s="222">
        <v>24</v>
      </c>
      <c r="K30" s="222">
        <v>36</v>
      </c>
      <c r="L30" s="222">
        <v>48</v>
      </c>
      <c r="M30" s="7"/>
      <c r="N30" s="8"/>
    </row>
    <row r="31" spans="1:18">
      <c r="A31" s="7"/>
      <c r="B31" s="218">
        <v>2018</v>
      </c>
      <c r="C31" s="219"/>
      <c r="D31" s="219">
        <v>15</v>
      </c>
      <c r="E31" s="219"/>
      <c r="F31" s="219">
        <f>20-20+20</f>
        <v>20</v>
      </c>
      <c r="G31" s="81"/>
      <c r="H31" s="218">
        <v>2018</v>
      </c>
      <c r="I31" s="219"/>
      <c r="J31" s="219">
        <v>1</v>
      </c>
      <c r="K31" s="219"/>
      <c r="L31" s="219">
        <v>1</v>
      </c>
      <c r="M31" s="7"/>
      <c r="N31" s="8"/>
    </row>
    <row r="32" spans="1:18">
      <c r="A32" s="7"/>
      <c r="B32" s="218">
        <v>2019</v>
      </c>
      <c r="C32" s="219">
        <v>75</v>
      </c>
      <c r="D32" s="219"/>
      <c r="E32" s="219">
        <f>-25+15</f>
        <v>-10</v>
      </c>
      <c r="F32" s="218"/>
      <c r="G32" s="81"/>
      <c r="H32" s="218">
        <v>2019</v>
      </c>
      <c r="I32" s="219">
        <v>1</v>
      </c>
      <c r="J32" s="219"/>
      <c r="K32" s="219"/>
      <c r="L32" s="218"/>
      <c r="M32" s="7"/>
      <c r="N32" s="8"/>
    </row>
    <row r="33" spans="1:14">
      <c r="A33" s="7"/>
      <c r="B33" s="218">
        <v>2020</v>
      </c>
      <c r="C33" s="219"/>
      <c r="D33" s="219">
        <v>65</v>
      </c>
      <c r="E33" s="218"/>
      <c r="F33" s="218"/>
      <c r="G33" s="81"/>
      <c r="H33" s="218">
        <v>2020</v>
      </c>
      <c r="I33" s="219"/>
      <c r="J33" s="219"/>
      <c r="K33" s="218"/>
      <c r="L33" s="218"/>
      <c r="M33" s="93"/>
      <c r="N33" s="137"/>
    </row>
    <row r="34" spans="1:14">
      <c r="A34" s="7"/>
      <c r="B34" s="218">
        <v>2021</v>
      </c>
      <c r="C34" s="219"/>
      <c r="D34" s="218"/>
      <c r="E34" s="218"/>
      <c r="F34" s="218"/>
      <c r="G34" s="81"/>
      <c r="H34" s="218">
        <v>2021</v>
      </c>
      <c r="I34" s="219"/>
      <c r="J34" s="218"/>
      <c r="K34" s="218"/>
      <c r="L34" s="218"/>
      <c r="M34" s="93"/>
      <c r="N34" s="137"/>
    </row>
    <row r="35" spans="1:14">
      <c r="A35" s="7"/>
      <c r="B35" s="138"/>
      <c r="C35" s="138"/>
      <c r="D35" s="138"/>
      <c r="E35" s="138"/>
      <c r="F35" s="138"/>
      <c r="G35" s="139"/>
      <c r="H35" s="138"/>
      <c r="I35" s="138"/>
      <c r="J35" s="138"/>
      <c r="K35" s="138"/>
      <c r="L35" s="138"/>
      <c r="M35" s="93"/>
      <c r="N35" s="137"/>
    </row>
    <row r="36" spans="1:14" ht="15.6" customHeight="1">
      <c r="A36" s="7"/>
      <c r="B36" s="218" t="s">
        <v>31</v>
      </c>
      <c r="C36" s="301" t="s">
        <v>331</v>
      </c>
      <c r="D36" s="301"/>
      <c r="E36" s="301"/>
      <c r="F36" s="301"/>
      <c r="G36" s="81"/>
      <c r="H36" s="218" t="s">
        <v>31</v>
      </c>
      <c r="I36" s="301" t="s">
        <v>329</v>
      </c>
      <c r="J36" s="301"/>
      <c r="K36" s="301"/>
      <c r="L36" s="301"/>
      <c r="M36" s="93"/>
      <c r="N36" s="137"/>
    </row>
    <row r="37" spans="1:14">
      <c r="A37" s="7"/>
      <c r="B37" s="222" t="s">
        <v>32</v>
      </c>
      <c r="C37" s="222">
        <v>12</v>
      </c>
      <c r="D37" s="222">
        <v>24</v>
      </c>
      <c r="E37" s="222">
        <v>36</v>
      </c>
      <c r="F37" s="222">
        <v>48</v>
      </c>
      <c r="G37" s="81"/>
      <c r="H37" s="222" t="s">
        <v>32</v>
      </c>
      <c r="I37" s="222">
        <v>12</v>
      </c>
      <c r="J37" s="222">
        <v>24</v>
      </c>
      <c r="K37" s="222">
        <v>36</v>
      </c>
      <c r="L37" s="222">
        <v>48</v>
      </c>
      <c r="M37" s="93"/>
      <c r="N37" s="137"/>
    </row>
    <row r="38" spans="1:14">
      <c r="A38" s="7"/>
      <c r="B38" s="218">
        <v>2018</v>
      </c>
      <c r="C38" s="219">
        <f>C31</f>
        <v>0</v>
      </c>
      <c r="D38" s="219">
        <f>C38+D31</f>
        <v>15</v>
      </c>
      <c r="E38" s="219">
        <f>D38+E31</f>
        <v>15</v>
      </c>
      <c r="F38" s="219">
        <f>E38+F31</f>
        <v>35</v>
      </c>
      <c r="G38" s="81"/>
      <c r="H38" s="218">
        <v>2018</v>
      </c>
      <c r="I38" s="219">
        <f>I31</f>
        <v>0</v>
      </c>
      <c r="J38" s="219">
        <f>I38+J31</f>
        <v>1</v>
      </c>
      <c r="K38" s="219">
        <f>J38+K31</f>
        <v>1</v>
      </c>
      <c r="L38" s="219">
        <f>K38+L31</f>
        <v>2</v>
      </c>
      <c r="M38" s="93"/>
      <c r="N38" s="137"/>
    </row>
    <row r="39" spans="1:14">
      <c r="A39" s="7"/>
      <c r="B39" s="218">
        <v>2019</v>
      </c>
      <c r="C39" s="219">
        <f t="shared" ref="C39:C41" si="0">C32</f>
        <v>75</v>
      </c>
      <c r="D39" s="219">
        <f t="shared" ref="D39:E40" si="1">C39+D32</f>
        <v>75</v>
      </c>
      <c r="E39" s="219">
        <f t="shared" si="1"/>
        <v>65</v>
      </c>
      <c r="F39" s="218"/>
      <c r="G39" s="81"/>
      <c r="H39" s="218">
        <v>2019</v>
      </c>
      <c r="I39" s="219">
        <f t="shared" ref="I39:I41" si="2">I32</f>
        <v>1</v>
      </c>
      <c r="J39" s="219">
        <f t="shared" ref="J39:K40" si="3">I39+J32</f>
        <v>1</v>
      </c>
      <c r="K39" s="219">
        <f t="shared" si="3"/>
        <v>1</v>
      </c>
      <c r="L39" s="218"/>
      <c r="M39" s="93"/>
      <c r="N39" s="137"/>
    </row>
    <row r="40" spans="1:14">
      <c r="A40" s="7"/>
      <c r="B40" s="218">
        <v>2020</v>
      </c>
      <c r="C40" s="219">
        <f t="shared" si="0"/>
        <v>0</v>
      </c>
      <c r="D40" s="219">
        <f t="shared" si="1"/>
        <v>65</v>
      </c>
      <c r="E40" s="218"/>
      <c r="F40" s="218"/>
      <c r="G40" s="81"/>
      <c r="H40" s="218">
        <v>2020</v>
      </c>
      <c r="I40" s="219">
        <f t="shared" si="2"/>
        <v>0</v>
      </c>
      <c r="J40" s="219">
        <f t="shared" si="3"/>
        <v>0</v>
      </c>
      <c r="K40" s="218"/>
      <c r="L40" s="218"/>
      <c r="M40" s="93"/>
      <c r="N40" s="137"/>
    </row>
    <row r="41" spans="1:14">
      <c r="A41" s="7"/>
      <c r="B41" s="218">
        <v>2021</v>
      </c>
      <c r="C41" s="219">
        <f t="shared" si="0"/>
        <v>0</v>
      </c>
      <c r="D41" s="218"/>
      <c r="E41" s="218"/>
      <c r="F41" s="218"/>
      <c r="G41" s="81"/>
      <c r="H41" s="218">
        <v>2021</v>
      </c>
      <c r="I41" s="219">
        <f t="shared" si="2"/>
        <v>0</v>
      </c>
      <c r="J41" s="218"/>
      <c r="K41" s="218"/>
      <c r="L41" s="218"/>
      <c r="M41" s="7"/>
      <c r="N41" s="8"/>
    </row>
    <row r="42" spans="1:14">
      <c r="A42" s="7"/>
      <c r="B42" s="7"/>
      <c r="C42" s="7"/>
      <c r="D42" s="7"/>
      <c r="E42" s="7"/>
      <c r="F42" s="7"/>
      <c r="G42" s="7"/>
      <c r="H42" s="7"/>
      <c r="I42" s="7"/>
      <c r="J42" s="7"/>
      <c r="K42" s="7"/>
      <c r="L42" s="7"/>
      <c r="M42" s="7"/>
      <c r="N42" s="8"/>
    </row>
    <row r="43" spans="1:14" ht="15.6" customHeight="1">
      <c r="A43" s="7"/>
      <c r="B43" s="218" t="s">
        <v>31</v>
      </c>
      <c r="C43" s="301" t="s">
        <v>33</v>
      </c>
      <c r="D43" s="301"/>
      <c r="E43" s="301"/>
      <c r="F43" s="301"/>
      <c r="G43" s="81"/>
      <c r="H43" s="218" t="s">
        <v>31</v>
      </c>
      <c r="I43" s="301" t="s">
        <v>35</v>
      </c>
      <c r="J43" s="301"/>
      <c r="K43" s="301"/>
      <c r="L43" s="301"/>
      <c r="M43" s="7"/>
      <c r="N43" s="8"/>
    </row>
    <row r="44" spans="1:14">
      <c r="B44" s="222" t="s">
        <v>32</v>
      </c>
      <c r="C44" s="222">
        <v>12</v>
      </c>
      <c r="D44" s="222">
        <v>24</v>
      </c>
      <c r="E44" s="222">
        <v>36</v>
      </c>
      <c r="F44" s="222">
        <v>48</v>
      </c>
      <c r="G44" s="81"/>
      <c r="H44" s="222" t="s">
        <v>32</v>
      </c>
      <c r="I44" s="222">
        <v>12</v>
      </c>
      <c r="J44" s="222">
        <v>24</v>
      </c>
      <c r="K44" s="222">
        <v>36</v>
      </c>
      <c r="L44" s="222">
        <v>48</v>
      </c>
      <c r="M44" s="8"/>
      <c r="N44" s="8"/>
    </row>
    <row r="45" spans="1:14">
      <c r="B45" s="218">
        <v>2018</v>
      </c>
      <c r="C45" s="219">
        <f>C38+C7</f>
        <v>1196</v>
      </c>
      <c r="D45" s="219">
        <f t="shared" ref="D45:E47" si="4">D38+D7</f>
        <v>1540</v>
      </c>
      <c r="E45" s="219">
        <f t="shared" si="4"/>
        <v>1653</v>
      </c>
      <c r="F45" s="219">
        <f>F38+F7</f>
        <v>1758</v>
      </c>
      <c r="G45" s="81"/>
      <c r="H45" s="218">
        <v>2018</v>
      </c>
      <c r="I45" s="219">
        <f>I38+I7</f>
        <v>230</v>
      </c>
      <c r="J45" s="219">
        <f t="shared" ref="J45:K45" si="5">J38+J7</f>
        <v>251</v>
      </c>
      <c r="K45" s="219">
        <f t="shared" si="5"/>
        <v>261</v>
      </c>
      <c r="L45" s="219">
        <f>L38+L7</f>
        <v>267</v>
      </c>
      <c r="M45" s="8"/>
      <c r="N45" s="8"/>
    </row>
    <row r="46" spans="1:14">
      <c r="B46" s="218">
        <v>2019</v>
      </c>
      <c r="C46" s="219">
        <f t="shared" ref="C46:C48" si="6">C39+C8</f>
        <v>1344</v>
      </c>
      <c r="D46" s="219">
        <f t="shared" si="4"/>
        <v>1682</v>
      </c>
      <c r="E46" s="219">
        <f t="shared" si="4"/>
        <v>1973</v>
      </c>
      <c r="F46" s="218"/>
      <c r="G46" s="81"/>
      <c r="H46" s="218">
        <v>2019</v>
      </c>
      <c r="I46" s="219">
        <f t="shared" ref="I46:K48" si="7">I39+I8</f>
        <v>236</v>
      </c>
      <c r="J46" s="219">
        <f t="shared" si="7"/>
        <v>256</v>
      </c>
      <c r="K46" s="219">
        <f t="shared" si="7"/>
        <v>266</v>
      </c>
      <c r="L46" s="218"/>
      <c r="M46" s="8"/>
      <c r="N46" s="8"/>
    </row>
    <row r="47" spans="1:14">
      <c r="B47" s="218">
        <v>2020</v>
      </c>
      <c r="C47" s="219">
        <f t="shared" si="6"/>
        <v>1294</v>
      </c>
      <c r="D47" s="219">
        <f t="shared" si="4"/>
        <v>1772</v>
      </c>
      <c r="E47" s="218"/>
      <c r="F47" s="218"/>
      <c r="G47" s="81"/>
      <c r="H47" s="218">
        <v>2020</v>
      </c>
      <c r="I47" s="219">
        <f t="shared" si="7"/>
        <v>231</v>
      </c>
      <c r="J47" s="219">
        <f t="shared" si="7"/>
        <v>251</v>
      </c>
      <c r="K47" s="218"/>
      <c r="L47" s="218"/>
      <c r="M47" s="8"/>
      <c r="N47" s="8"/>
    </row>
    <row r="48" spans="1:14">
      <c r="B48" s="218">
        <v>2021</v>
      </c>
      <c r="C48" s="219">
        <f t="shared" si="6"/>
        <v>1451</v>
      </c>
      <c r="D48" s="218"/>
      <c r="E48" s="218"/>
      <c r="F48" s="218"/>
      <c r="G48" s="81"/>
      <c r="H48" s="218">
        <v>2021</v>
      </c>
      <c r="I48" s="219">
        <f t="shared" si="7"/>
        <v>234</v>
      </c>
      <c r="J48" s="218"/>
      <c r="K48" s="218"/>
      <c r="L48" s="218"/>
      <c r="M48" s="8"/>
      <c r="N48" s="8"/>
    </row>
    <row r="50" spans="1:12">
      <c r="A50" s="6" t="s">
        <v>5</v>
      </c>
      <c r="B50" s="9" t="s">
        <v>52</v>
      </c>
      <c r="C50" s="4"/>
      <c r="D50" s="4"/>
      <c r="E50" s="4"/>
      <c r="F50" s="4"/>
      <c r="G50" s="4"/>
      <c r="H50" s="4"/>
      <c r="I50" s="4"/>
      <c r="J50" s="4"/>
      <c r="K50" s="4"/>
      <c r="L50" s="4"/>
    </row>
    <row r="51" spans="1:12">
      <c r="A51" s="3"/>
      <c r="B51" s="3"/>
      <c r="C51" s="3"/>
      <c r="D51" s="3"/>
      <c r="E51" s="3"/>
      <c r="F51" s="3"/>
      <c r="G51" s="4"/>
      <c r="H51" s="4"/>
      <c r="I51" s="4"/>
      <c r="J51" s="4"/>
      <c r="K51" s="4"/>
      <c r="L51" s="4"/>
    </row>
    <row r="52" spans="1:12">
      <c r="A52" s="7"/>
      <c r="B52" s="7"/>
      <c r="C52" s="7"/>
      <c r="D52" s="7"/>
      <c r="E52" s="7"/>
      <c r="F52" s="7"/>
      <c r="G52" s="7"/>
      <c r="H52" s="7"/>
      <c r="I52" s="7"/>
      <c r="J52" s="7"/>
      <c r="K52" s="7"/>
      <c r="L52" s="7"/>
    </row>
    <row r="53" spans="1:12">
      <c r="A53" s="7" t="s">
        <v>1</v>
      </c>
      <c r="B53" s="7"/>
      <c r="C53" s="7"/>
      <c r="D53" s="7"/>
      <c r="E53" s="7"/>
      <c r="F53" s="7"/>
      <c r="G53" s="7"/>
      <c r="H53" s="7"/>
      <c r="I53" s="7"/>
      <c r="J53" s="7"/>
      <c r="K53" s="7"/>
      <c r="L53" s="7"/>
    </row>
    <row r="54" spans="1:12">
      <c r="A54" s="7"/>
      <c r="B54" s="94" t="s">
        <v>332</v>
      </c>
      <c r="C54" s="141"/>
      <c r="E54" s="142">
        <f>(C48+D47+E46+F45)-(C47+D46+E45)</f>
        <v>2325</v>
      </c>
      <c r="F54" s="141"/>
      <c r="H54" s="7"/>
      <c r="I54" s="7"/>
      <c r="J54" s="7"/>
      <c r="K54" s="7"/>
      <c r="L54" s="7"/>
    </row>
    <row r="56" spans="1:12">
      <c r="A56" s="9"/>
      <c r="B56" s="9"/>
      <c r="C56" s="9"/>
      <c r="D56" s="9"/>
      <c r="E56" s="9"/>
      <c r="F56" s="9"/>
      <c r="G56" s="9"/>
      <c r="H56" s="9"/>
      <c r="I56" s="9"/>
      <c r="J56" s="9"/>
      <c r="K56" s="9"/>
      <c r="L56" s="9"/>
    </row>
    <row r="57" spans="1:12">
      <c r="A57" s="9" t="s">
        <v>63</v>
      </c>
      <c r="B57" s="9"/>
      <c r="C57" s="9"/>
      <c r="D57" s="9"/>
      <c r="E57" s="9"/>
      <c r="F57" s="9"/>
      <c r="G57" s="52">
        <v>800000</v>
      </c>
      <c r="H57" s="9"/>
      <c r="I57" s="9"/>
      <c r="J57" s="9"/>
      <c r="K57" s="9"/>
      <c r="L57" s="9"/>
    </row>
    <row r="58" spans="1:12">
      <c r="A58" s="9"/>
      <c r="B58" s="9"/>
      <c r="C58" s="9"/>
      <c r="D58" s="9"/>
      <c r="E58" s="9"/>
      <c r="F58" s="9"/>
      <c r="G58" s="29"/>
      <c r="H58" s="9"/>
      <c r="I58" s="9"/>
      <c r="J58" s="9"/>
      <c r="K58" s="9"/>
      <c r="L58" s="9"/>
    </row>
    <row r="60" spans="1:12">
      <c r="A60" s="6" t="s">
        <v>0</v>
      </c>
      <c r="B60" s="9" t="s">
        <v>53</v>
      </c>
      <c r="C60" s="4"/>
      <c r="D60" s="4"/>
      <c r="E60" s="4"/>
      <c r="F60" s="4"/>
      <c r="G60" s="4"/>
      <c r="H60" s="4"/>
      <c r="I60" s="4"/>
      <c r="J60" s="4"/>
      <c r="K60" s="4"/>
      <c r="L60" s="4"/>
    </row>
    <row r="61" spans="1:12">
      <c r="A61" s="3"/>
      <c r="B61" s="3"/>
      <c r="C61" s="3"/>
      <c r="D61" s="3"/>
      <c r="E61" s="3"/>
      <c r="F61" s="3"/>
      <c r="G61" s="4"/>
      <c r="H61" s="4"/>
      <c r="I61" s="4"/>
      <c r="J61" s="4"/>
      <c r="K61" s="4"/>
      <c r="L61" s="4"/>
    </row>
    <row r="62" spans="1:12">
      <c r="A62" s="7"/>
      <c r="B62" s="7"/>
      <c r="C62" s="7"/>
      <c r="D62" s="7"/>
      <c r="E62" s="7"/>
      <c r="F62" s="7"/>
      <c r="G62" s="7"/>
      <c r="H62" s="7"/>
      <c r="I62" s="7"/>
      <c r="J62" s="7"/>
      <c r="K62" s="7"/>
      <c r="L62" s="7"/>
    </row>
    <row r="63" spans="1:12">
      <c r="A63" s="7" t="s">
        <v>1</v>
      </c>
      <c r="B63" s="7"/>
      <c r="C63" s="7"/>
      <c r="D63" s="7"/>
      <c r="E63" s="7"/>
      <c r="F63" s="7"/>
      <c r="G63" s="7"/>
      <c r="H63" s="7"/>
      <c r="I63" s="7"/>
      <c r="J63" s="7"/>
      <c r="K63" s="7"/>
      <c r="L63" s="7"/>
    </row>
    <row r="64" spans="1:12">
      <c r="A64" s="7"/>
      <c r="B64" s="93"/>
      <c r="C64" s="93"/>
      <c r="D64" s="93"/>
      <c r="E64" s="93"/>
      <c r="F64" s="7"/>
      <c r="G64" s="7"/>
      <c r="H64" s="7"/>
      <c r="I64" s="7"/>
      <c r="J64" s="7"/>
      <c r="K64" s="7"/>
      <c r="L64" s="7"/>
    </row>
    <row r="65" spans="1:12">
      <c r="A65" s="7"/>
      <c r="B65" s="140" t="s">
        <v>333</v>
      </c>
      <c r="C65" s="141"/>
      <c r="E65" s="142">
        <f>C48-G57/1000</f>
        <v>651</v>
      </c>
      <c r="F65" s="7"/>
      <c r="G65" s="7"/>
      <c r="H65" s="7"/>
      <c r="I65" s="7"/>
      <c r="J65" s="7"/>
      <c r="K65" s="7"/>
      <c r="L65" s="7"/>
    </row>
    <row r="67" spans="1:12">
      <c r="A67" s="9"/>
      <c r="B67" s="9"/>
      <c r="C67" s="9"/>
      <c r="D67" s="9"/>
      <c r="E67" s="9"/>
      <c r="F67" s="9"/>
      <c r="G67" s="9"/>
      <c r="H67" s="9"/>
      <c r="I67" s="9"/>
      <c r="J67" s="9"/>
      <c r="K67" s="9"/>
      <c r="L67" s="9"/>
    </row>
    <row r="68" spans="1:12">
      <c r="A68" s="9" t="s">
        <v>54</v>
      </c>
      <c r="B68" s="9"/>
      <c r="C68" s="9"/>
      <c r="D68" s="9"/>
      <c r="E68" s="9"/>
      <c r="F68" s="9"/>
      <c r="G68" s="9"/>
      <c r="H68" s="9"/>
      <c r="I68" s="9"/>
      <c r="J68" s="9"/>
      <c r="K68" s="9"/>
      <c r="L68" s="9"/>
    </row>
    <row r="69" spans="1:12">
      <c r="A69" s="9"/>
      <c r="B69" s="9"/>
      <c r="C69" s="9"/>
      <c r="D69" s="9"/>
      <c r="E69" s="9"/>
      <c r="F69" s="9"/>
      <c r="G69" s="9"/>
      <c r="H69" s="9"/>
      <c r="I69" s="9"/>
      <c r="J69" s="9"/>
      <c r="K69" s="9"/>
      <c r="L69" s="9"/>
    </row>
    <row r="71" spans="1:12">
      <c r="A71" s="6" t="s">
        <v>2</v>
      </c>
      <c r="B71" s="9" t="s">
        <v>55</v>
      </c>
      <c r="C71" s="4"/>
      <c r="D71" s="4"/>
      <c r="E71" s="4"/>
      <c r="F71" s="4"/>
      <c r="G71" s="4"/>
      <c r="H71" s="4"/>
      <c r="I71" s="4"/>
      <c r="J71" s="4"/>
      <c r="K71" s="4"/>
      <c r="L71" s="4"/>
    </row>
    <row r="72" spans="1:12">
      <c r="A72" s="6"/>
      <c r="B72" s="4"/>
      <c r="C72" s="4"/>
      <c r="D72" s="4"/>
      <c r="E72" s="4"/>
      <c r="F72" s="4"/>
      <c r="G72" s="4"/>
      <c r="H72" s="4"/>
      <c r="I72" s="4"/>
      <c r="J72" s="4"/>
      <c r="K72" s="4"/>
      <c r="L72" s="4"/>
    </row>
    <row r="73" spans="1:12">
      <c r="A73" s="6"/>
      <c r="B73" s="4" t="s">
        <v>56</v>
      </c>
      <c r="C73" s="292" t="s">
        <v>57</v>
      </c>
      <c r="D73" s="292"/>
      <c r="E73" s="292"/>
      <c r="F73" s="292"/>
      <c r="G73" s="292"/>
      <c r="H73" s="292"/>
      <c r="I73" s="292"/>
      <c r="J73" s="292"/>
      <c r="K73" s="292"/>
      <c r="L73" s="4"/>
    </row>
    <row r="74" spans="1:12">
      <c r="A74" s="6"/>
      <c r="B74" s="4"/>
      <c r="C74" s="292"/>
      <c r="D74" s="292"/>
      <c r="E74" s="292"/>
      <c r="F74" s="292"/>
      <c r="G74" s="292"/>
      <c r="H74" s="292"/>
      <c r="I74" s="292"/>
      <c r="J74" s="292"/>
      <c r="K74" s="292"/>
      <c r="L74" s="4"/>
    </row>
    <row r="75" spans="1:12">
      <c r="A75" s="6"/>
      <c r="B75" s="4"/>
      <c r="C75" s="4"/>
      <c r="D75" s="4"/>
      <c r="E75" s="4"/>
      <c r="F75" s="4"/>
      <c r="G75" s="4"/>
      <c r="H75" s="4"/>
      <c r="I75" s="4"/>
      <c r="J75" s="4"/>
      <c r="K75" s="4"/>
      <c r="L75" s="4"/>
    </row>
    <row r="76" spans="1:12">
      <c r="A76" s="6"/>
      <c r="B76" s="4" t="s">
        <v>58</v>
      </c>
      <c r="C76" s="4" t="s">
        <v>59</v>
      </c>
      <c r="D76" s="4"/>
      <c r="E76" s="4"/>
      <c r="F76" s="4"/>
      <c r="G76" s="4"/>
      <c r="H76" s="4"/>
      <c r="I76" s="4"/>
      <c r="J76" s="4"/>
      <c r="K76" s="4"/>
      <c r="L76" s="4"/>
    </row>
    <row r="77" spans="1:12">
      <c r="A77" s="3"/>
      <c r="B77" s="3"/>
      <c r="C77" s="3"/>
      <c r="D77" s="3"/>
      <c r="E77" s="3"/>
      <c r="F77" s="3"/>
      <c r="G77" s="4"/>
      <c r="H77" s="4"/>
      <c r="I77" s="4"/>
      <c r="J77" s="4"/>
      <c r="K77" s="4"/>
      <c r="L77" s="4"/>
    </row>
    <row r="78" spans="1:12">
      <c r="A78" s="7"/>
      <c r="B78" s="7"/>
      <c r="C78" s="7"/>
      <c r="D78" s="7"/>
      <c r="E78" s="7"/>
      <c r="F78" s="7"/>
      <c r="G78" s="7"/>
      <c r="H78" s="7"/>
      <c r="I78" s="7"/>
      <c r="J78" s="7"/>
      <c r="K78" s="7"/>
      <c r="L78" s="7"/>
    </row>
    <row r="79" spans="1:12">
      <c r="A79" s="7" t="s">
        <v>1</v>
      </c>
      <c r="B79" s="7"/>
      <c r="C79" s="7"/>
      <c r="D79" s="7"/>
      <c r="E79" s="7"/>
      <c r="F79" s="7"/>
      <c r="G79" s="7"/>
      <c r="H79" s="7"/>
      <c r="I79" s="7"/>
      <c r="J79" s="7"/>
      <c r="K79" s="7"/>
      <c r="L79" s="7"/>
    </row>
    <row r="80" spans="1:12">
      <c r="A80" s="7"/>
      <c r="B80" s="7"/>
      <c r="C80" s="7"/>
      <c r="D80" s="7"/>
      <c r="E80" s="7"/>
      <c r="F80" s="7"/>
      <c r="G80" s="7"/>
      <c r="H80" s="7"/>
      <c r="I80" s="7"/>
      <c r="J80" s="7"/>
      <c r="K80" s="7"/>
      <c r="L80" s="7"/>
    </row>
    <row r="81" spans="1:13">
      <c r="A81" s="7"/>
      <c r="B81" s="7" t="s">
        <v>56</v>
      </c>
      <c r="C81" s="7" t="s">
        <v>334</v>
      </c>
      <c r="D81" s="7"/>
      <c r="E81" s="7"/>
      <c r="F81" s="7"/>
      <c r="G81" s="7"/>
      <c r="H81" s="7"/>
      <c r="I81" s="7"/>
      <c r="J81" s="7"/>
      <c r="K81" s="7"/>
      <c r="L81" s="7"/>
    </row>
    <row r="82" spans="1:13">
      <c r="M82" s="7"/>
    </row>
    <row r="83" spans="1:13">
      <c r="B83" s="1" t="s">
        <v>58</v>
      </c>
      <c r="C83" s="1" t="s">
        <v>335</v>
      </c>
      <c r="M83" s="7"/>
    </row>
    <row r="84" spans="1:13">
      <c r="C84" s="1" t="s">
        <v>336</v>
      </c>
    </row>
    <row r="85" spans="1:13">
      <c r="C85" s="1" t="s">
        <v>337</v>
      </c>
    </row>
    <row r="86" spans="1:13">
      <c r="C86" s="1" t="s">
        <v>338</v>
      </c>
    </row>
    <row r="88" spans="1:13">
      <c r="A88" s="9"/>
      <c r="B88" s="9"/>
      <c r="C88" s="9"/>
      <c r="D88" s="9"/>
      <c r="E88" s="9"/>
      <c r="F88" s="9"/>
      <c r="G88" s="9"/>
      <c r="H88" s="9"/>
      <c r="I88" s="9"/>
      <c r="J88" s="9"/>
      <c r="K88" s="9"/>
      <c r="L88" s="9"/>
    </row>
    <row r="89" spans="1:13">
      <c r="A89" s="293" t="s">
        <v>60</v>
      </c>
      <c r="B89" s="293"/>
      <c r="C89" s="293"/>
      <c r="D89" s="293"/>
      <c r="E89" s="293"/>
      <c r="F89" s="293"/>
      <c r="G89" s="293"/>
      <c r="H89" s="293"/>
      <c r="I89" s="293"/>
      <c r="J89" s="293"/>
      <c r="K89" s="293"/>
      <c r="L89" s="293"/>
    </row>
    <row r="90" spans="1:13">
      <c r="A90" s="293"/>
      <c r="B90" s="293"/>
      <c r="C90" s="293"/>
      <c r="D90" s="293"/>
      <c r="E90" s="293"/>
      <c r="F90" s="293"/>
      <c r="G90" s="293"/>
      <c r="H90" s="293"/>
      <c r="I90" s="293"/>
      <c r="J90" s="293"/>
      <c r="K90" s="293"/>
      <c r="L90" s="293"/>
    </row>
    <row r="91" spans="1:13">
      <c r="A91" s="31"/>
      <c r="B91" s="31"/>
      <c r="C91" s="31"/>
      <c r="D91" s="31"/>
      <c r="E91" s="31"/>
      <c r="F91" s="31"/>
      <c r="G91" s="31"/>
      <c r="H91" s="31"/>
      <c r="I91" s="31"/>
      <c r="J91" s="31"/>
      <c r="K91" s="31"/>
      <c r="L91" s="31"/>
    </row>
    <row r="93" spans="1:13">
      <c r="A93" s="6" t="s">
        <v>3</v>
      </c>
      <c r="B93" s="9" t="s">
        <v>61</v>
      </c>
      <c r="C93" s="4"/>
      <c r="D93" s="4"/>
      <c r="E93" s="4"/>
      <c r="F93" s="4"/>
      <c r="G93" s="4"/>
      <c r="H93" s="4"/>
      <c r="I93" s="4"/>
      <c r="J93" s="4"/>
      <c r="K93" s="4"/>
      <c r="L93" s="4"/>
    </row>
    <row r="94" spans="1:13">
      <c r="A94" s="3"/>
      <c r="B94" s="3"/>
      <c r="C94" s="3"/>
      <c r="D94" s="3"/>
      <c r="E94" s="3"/>
      <c r="F94" s="3"/>
      <c r="G94" s="4"/>
      <c r="H94" s="4"/>
      <c r="I94" s="4"/>
      <c r="J94" s="4"/>
      <c r="K94" s="4"/>
      <c r="L94" s="4"/>
    </row>
    <row r="95" spans="1:13">
      <c r="A95" s="7"/>
      <c r="B95" s="7"/>
      <c r="C95" s="7"/>
      <c r="D95" s="7"/>
      <c r="E95" s="7"/>
      <c r="F95" s="7"/>
      <c r="G95" s="7"/>
      <c r="H95" s="7"/>
      <c r="I95" s="7"/>
      <c r="J95" s="7"/>
      <c r="K95" s="7"/>
      <c r="L95" s="7"/>
    </row>
    <row r="96" spans="1:13">
      <c r="A96" s="7" t="s">
        <v>1</v>
      </c>
      <c r="B96" s="7"/>
      <c r="C96" s="7"/>
      <c r="D96" s="7"/>
      <c r="E96" s="7"/>
      <c r="F96" s="7"/>
      <c r="G96" s="7"/>
      <c r="H96" s="7"/>
      <c r="I96" s="7"/>
      <c r="J96" s="7"/>
      <c r="K96" s="7"/>
      <c r="L96" s="7"/>
    </row>
    <row r="97" spans="1:12">
      <c r="A97" s="7"/>
      <c r="B97" s="144" t="s">
        <v>339</v>
      </c>
      <c r="C97" s="7"/>
      <c r="D97" s="7"/>
      <c r="E97" s="7"/>
      <c r="F97" s="7"/>
      <c r="G97" s="7"/>
      <c r="H97" s="7"/>
      <c r="I97" s="7"/>
      <c r="J97" s="7"/>
      <c r="K97" s="7"/>
      <c r="L97" s="7"/>
    </row>
    <row r="98" spans="1:12">
      <c r="A98" s="7"/>
      <c r="B98" s="145" t="s">
        <v>340</v>
      </c>
      <c r="C98" s="7"/>
      <c r="D98" s="7"/>
      <c r="E98" s="7"/>
      <c r="F98" s="7"/>
      <c r="G98" s="7"/>
      <c r="H98" s="7"/>
      <c r="I98" s="7"/>
      <c r="J98" s="7"/>
      <c r="K98" s="7"/>
      <c r="L98" s="7"/>
    </row>
    <row r="99" spans="1:12">
      <c r="B99" s="145" t="s">
        <v>341</v>
      </c>
    </row>
    <row r="100" spans="1:12">
      <c r="B100" s="145" t="s">
        <v>342</v>
      </c>
    </row>
    <row r="101" spans="1:12">
      <c r="B101" s="145" t="s">
        <v>343</v>
      </c>
    </row>
  </sheetData>
  <mergeCells count="24">
    <mergeCell ref="C36:F36"/>
    <mergeCell ref="I36:L36"/>
    <mergeCell ref="C73:K74"/>
    <mergeCell ref="A89:L90"/>
    <mergeCell ref="E14:F14"/>
    <mergeCell ref="E15:F15"/>
    <mergeCell ref="E16:F16"/>
    <mergeCell ref="E17:F17"/>
    <mergeCell ref="E18:F18"/>
    <mergeCell ref="E19:F19"/>
    <mergeCell ref="E20:F20"/>
    <mergeCell ref="E21:F21"/>
    <mergeCell ref="C43:F43"/>
    <mergeCell ref="I43:L43"/>
    <mergeCell ref="C29:F29"/>
    <mergeCell ref="I29:L29"/>
    <mergeCell ref="C5:F5"/>
    <mergeCell ref="I5:L5"/>
    <mergeCell ref="C14:C15"/>
    <mergeCell ref="D14:D15"/>
    <mergeCell ref="G14:G15"/>
    <mergeCell ref="H14:H15"/>
    <mergeCell ref="I14:I15"/>
    <mergeCell ref="J14:J15"/>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872C5-32D2-4F0C-9AEF-235DBFE51280}">
  <dimension ref="A1:L4"/>
  <sheetViews>
    <sheetView zoomScaleNormal="100" workbookViewId="0"/>
  </sheetViews>
  <sheetFormatPr defaultColWidth="8.88671875" defaultRowHeight="15.6"/>
  <cols>
    <col min="1" max="6" width="8.88671875" style="1" customWidth="1"/>
    <col min="7" max="7" width="8.88671875" style="1"/>
    <col min="8" max="8" width="8.88671875" style="1" customWidth="1"/>
    <col min="9" max="16384" width="8.88671875" style="1"/>
  </cols>
  <sheetData>
    <row r="1" spans="1:12" ht="17.399999999999999">
      <c r="A1" s="2" t="s">
        <v>64</v>
      </c>
      <c r="B1" s="4"/>
      <c r="C1" s="9" t="s">
        <v>9</v>
      </c>
      <c r="D1" s="4"/>
      <c r="E1" s="4"/>
      <c r="F1" s="4"/>
      <c r="G1" s="4"/>
      <c r="H1" s="4"/>
      <c r="I1" s="4"/>
      <c r="J1" s="4"/>
      <c r="K1" s="4"/>
      <c r="L1" s="3"/>
    </row>
    <row r="2" spans="1:12">
      <c r="A2" s="4"/>
      <c r="B2" s="4"/>
      <c r="C2" s="4"/>
      <c r="D2" s="4"/>
      <c r="E2" s="4"/>
      <c r="F2" s="4"/>
      <c r="G2" s="4"/>
      <c r="H2" s="4"/>
      <c r="I2" s="4"/>
      <c r="J2" s="4"/>
      <c r="K2" s="4"/>
      <c r="L2" s="3"/>
    </row>
    <row r="3" spans="1:12" ht="16.2">
      <c r="A3" s="14" t="s">
        <v>65</v>
      </c>
      <c r="B3" s="4"/>
      <c r="C3" s="4"/>
      <c r="D3" s="4"/>
      <c r="E3" s="4"/>
      <c r="F3" s="4"/>
      <c r="G3" s="4"/>
      <c r="H3" s="9"/>
      <c r="I3" s="9"/>
      <c r="J3" s="9"/>
      <c r="K3" s="9"/>
      <c r="L3" s="9"/>
    </row>
    <row r="4" spans="1:12">
      <c r="A4" s="4"/>
      <c r="B4" s="4"/>
      <c r="C4" s="4"/>
      <c r="D4" s="4"/>
      <c r="E4" s="4"/>
      <c r="F4" s="4"/>
      <c r="G4" s="4"/>
      <c r="H4" s="9"/>
      <c r="I4" s="9"/>
      <c r="J4" s="9"/>
      <c r="K4" s="9"/>
      <c r="L4" s="9"/>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972E8-904B-4843-8F24-F0F4A4F87A25}">
  <dimension ref="A1:R81"/>
  <sheetViews>
    <sheetView zoomScaleNormal="100" workbookViewId="0"/>
  </sheetViews>
  <sheetFormatPr defaultColWidth="8.88671875" defaultRowHeight="15.6"/>
  <cols>
    <col min="1" max="1" width="11.33203125" style="1" customWidth="1"/>
    <col min="2" max="12" width="11.6640625" style="1" customWidth="1"/>
    <col min="13" max="16384" width="8.88671875" style="1"/>
  </cols>
  <sheetData>
    <row r="1" spans="1:12" ht="17.399999999999999">
      <c r="A1" s="2" t="s">
        <v>66</v>
      </c>
      <c r="B1" s="4"/>
      <c r="C1" s="9" t="s">
        <v>9</v>
      </c>
      <c r="D1" s="4"/>
      <c r="E1" s="4"/>
      <c r="F1" s="4"/>
      <c r="G1" s="4"/>
      <c r="H1" s="4"/>
      <c r="I1" s="4"/>
      <c r="J1" s="4"/>
      <c r="K1" s="4"/>
      <c r="L1" s="3"/>
    </row>
    <row r="2" spans="1:12">
      <c r="A2" s="4"/>
      <c r="B2" s="4"/>
      <c r="C2" s="4"/>
      <c r="D2" s="4"/>
      <c r="E2" s="4"/>
      <c r="F2" s="4"/>
      <c r="G2" s="4"/>
      <c r="H2" s="4"/>
      <c r="I2" s="4"/>
      <c r="J2" s="4"/>
      <c r="K2" s="4"/>
      <c r="L2" s="3"/>
    </row>
    <row r="4" spans="1:12">
      <c r="A4" s="5" t="s">
        <v>8</v>
      </c>
      <c r="B4" s="3"/>
      <c r="C4" s="3"/>
      <c r="D4" s="3"/>
      <c r="E4" s="3"/>
      <c r="F4" s="3"/>
      <c r="G4" s="3"/>
      <c r="H4" s="3"/>
      <c r="I4" s="3"/>
      <c r="J4" s="3"/>
      <c r="K4" s="3"/>
      <c r="L4" s="3"/>
    </row>
    <row r="5" spans="1:12">
      <c r="A5" s="7"/>
      <c r="B5" s="7"/>
      <c r="C5" s="7"/>
      <c r="D5" s="7"/>
      <c r="E5" s="7"/>
      <c r="F5" s="7"/>
      <c r="G5" s="7"/>
      <c r="H5" s="7"/>
      <c r="I5" s="7"/>
      <c r="J5" s="7"/>
      <c r="K5" s="7"/>
      <c r="L5" s="7"/>
    </row>
    <row r="6" spans="1:12">
      <c r="A6" s="5" t="s">
        <v>67</v>
      </c>
      <c r="B6" s="3"/>
      <c r="C6" s="3"/>
      <c r="D6" s="3"/>
      <c r="E6" s="3"/>
      <c r="F6" s="3"/>
      <c r="G6" s="3"/>
      <c r="H6" s="3"/>
      <c r="I6" s="3"/>
      <c r="J6" s="3"/>
      <c r="K6" s="3"/>
      <c r="L6" s="3"/>
    </row>
    <row r="7" spans="1:12">
      <c r="A7" s="7"/>
      <c r="B7" s="7"/>
      <c r="C7" s="7"/>
      <c r="D7" s="7"/>
      <c r="E7" s="7"/>
      <c r="F7" s="7"/>
      <c r="G7" s="7"/>
      <c r="H7" s="7"/>
      <c r="I7" s="7"/>
      <c r="J7" s="7"/>
      <c r="K7" s="7"/>
      <c r="L7" s="7"/>
    </row>
    <row r="8" spans="1:12">
      <c r="A8" s="9"/>
      <c r="B8" s="9"/>
      <c r="C8" s="9"/>
      <c r="D8" s="9"/>
      <c r="E8" s="9"/>
      <c r="F8" s="9"/>
      <c r="G8" s="9"/>
      <c r="H8" s="9"/>
      <c r="I8" s="9"/>
      <c r="J8" s="9"/>
      <c r="K8" s="9"/>
      <c r="L8" s="9"/>
    </row>
    <row r="9" spans="1:12" ht="15.6" customHeight="1">
      <c r="A9" s="88" t="s">
        <v>293</v>
      </c>
      <c r="B9" s="88"/>
      <c r="C9" s="88"/>
      <c r="D9" s="88"/>
      <c r="E9" s="88"/>
      <c r="F9" s="88"/>
      <c r="G9" s="88"/>
      <c r="H9" s="88"/>
      <c r="I9" s="88"/>
      <c r="J9" s="88"/>
      <c r="K9" s="88"/>
      <c r="L9" s="9"/>
    </row>
    <row r="10" spans="1:12">
      <c r="A10" s="88"/>
      <c r="B10" s="88"/>
      <c r="C10" s="88"/>
      <c r="D10" s="88"/>
      <c r="E10" s="88"/>
      <c r="F10" s="88"/>
      <c r="G10" s="88"/>
      <c r="H10" s="88"/>
      <c r="I10" s="88"/>
      <c r="J10" s="88"/>
      <c r="K10" s="88"/>
      <c r="L10" s="9"/>
    </row>
    <row r="11" spans="1:12">
      <c r="A11" s="9"/>
      <c r="B11" s="10" t="s">
        <v>248</v>
      </c>
      <c r="C11" s="10"/>
      <c r="D11" s="53">
        <v>2000000</v>
      </c>
      <c r="E11" s="10"/>
      <c r="F11" s="10"/>
      <c r="G11" s="10"/>
      <c r="H11" s="10"/>
      <c r="I11" s="10"/>
      <c r="J11" s="10"/>
      <c r="K11" s="9"/>
      <c r="L11" s="9"/>
    </row>
    <row r="12" spans="1:12">
      <c r="A12" s="9"/>
      <c r="B12" s="10" t="s">
        <v>249</v>
      </c>
      <c r="C12" s="10"/>
      <c r="D12" s="10"/>
      <c r="E12" s="10"/>
      <c r="F12" s="53">
        <v>2000000</v>
      </c>
      <c r="G12" s="30" t="s">
        <v>68</v>
      </c>
      <c r="H12" s="53">
        <v>4000000</v>
      </c>
      <c r="I12" s="10" t="s">
        <v>69</v>
      </c>
      <c r="J12" s="10"/>
      <c r="K12" s="9"/>
      <c r="L12" s="9"/>
    </row>
    <row r="13" spans="1:12">
      <c r="A13" s="9"/>
      <c r="B13" s="10" t="s">
        <v>250</v>
      </c>
      <c r="C13" s="10"/>
      <c r="D13" s="10"/>
      <c r="E13" s="53">
        <v>4000000</v>
      </c>
      <c r="F13" s="30" t="s">
        <v>68</v>
      </c>
      <c r="G13" s="53">
        <v>10000000</v>
      </c>
      <c r="H13" s="10" t="s">
        <v>69</v>
      </c>
      <c r="I13" s="10"/>
      <c r="J13" s="10"/>
      <c r="K13" s="9"/>
      <c r="L13" s="9"/>
    </row>
    <row r="14" spans="1:12">
      <c r="A14" s="9"/>
      <c r="B14" s="10"/>
      <c r="C14" s="10"/>
      <c r="D14" s="10"/>
      <c r="E14" s="28"/>
      <c r="F14" s="30"/>
      <c r="G14" s="28"/>
      <c r="H14" s="10"/>
      <c r="I14" s="10"/>
      <c r="J14" s="10"/>
      <c r="K14" s="9"/>
      <c r="L14" s="9"/>
    </row>
    <row r="15" spans="1:12">
      <c r="A15" s="9" t="s">
        <v>294</v>
      </c>
      <c r="B15" s="10"/>
      <c r="C15" s="10"/>
      <c r="D15" s="53">
        <v>8000000</v>
      </c>
      <c r="E15" s="30" t="s">
        <v>70</v>
      </c>
      <c r="F15" s="28"/>
      <c r="G15" s="10"/>
      <c r="H15" s="10"/>
      <c r="I15" s="10"/>
      <c r="J15" s="10"/>
      <c r="K15" s="9"/>
      <c r="L15" s="9"/>
    </row>
    <row r="16" spans="1:12">
      <c r="A16" s="9"/>
      <c r="B16" s="9"/>
      <c r="C16" s="9"/>
      <c r="D16" s="9"/>
      <c r="E16" s="9"/>
      <c r="F16" s="9"/>
      <c r="G16" s="9"/>
      <c r="H16" s="9"/>
      <c r="I16" s="9"/>
      <c r="J16" s="9"/>
      <c r="K16" s="9"/>
      <c r="L16" s="9"/>
    </row>
    <row r="17" spans="1:18">
      <c r="A17" s="7"/>
      <c r="B17" s="7"/>
      <c r="C17" s="7"/>
      <c r="D17" s="7"/>
      <c r="E17" s="7"/>
      <c r="F17" s="7"/>
      <c r="G17" s="7"/>
      <c r="H17" s="7"/>
      <c r="I17" s="7"/>
      <c r="J17" s="7"/>
      <c r="K17" s="7"/>
      <c r="L17" s="7"/>
    </row>
    <row r="18" spans="1:18">
      <c r="A18" s="6" t="s">
        <v>0</v>
      </c>
      <c r="B18" s="9" t="s">
        <v>74</v>
      </c>
      <c r="C18" s="4"/>
      <c r="D18" s="4"/>
      <c r="E18" s="4"/>
      <c r="F18" s="4"/>
      <c r="G18" s="4"/>
      <c r="H18" s="4"/>
      <c r="I18" s="4"/>
      <c r="J18" s="4"/>
      <c r="K18" s="4"/>
      <c r="L18" s="4"/>
      <c r="M18" s="8"/>
      <c r="N18" s="8"/>
      <c r="O18" s="8"/>
      <c r="P18" s="8"/>
      <c r="Q18" s="8"/>
      <c r="R18" s="8"/>
    </row>
    <row r="19" spans="1:18">
      <c r="A19" s="6"/>
      <c r="B19" s="9"/>
      <c r="C19" s="4"/>
      <c r="D19" s="4"/>
      <c r="E19" s="4"/>
      <c r="F19" s="4"/>
      <c r="G19" s="4"/>
      <c r="H19" s="4"/>
      <c r="I19" s="4"/>
      <c r="J19" s="4"/>
      <c r="K19" s="4"/>
      <c r="L19" s="4"/>
      <c r="M19" s="8"/>
      <c r="N19" s="8"/>
      <c r="O19" s="8"/>
      <c r="P19" s="8"/>
      <c r="Q19" s="8"/>
      <c r="R19" s="8"/>
    </row>
    <row r="20" spans="1:18">
      <c r="A20" s="6"/>
      <c r="B20" s="32" t="s">
        <v>56</v>
      </c>
      <c r="C20" s="9" t="s">
        <v>75</v>
      </c>
      <c r="D20" s="4"/>
      <c r="E20" s="4"/>
      <c r="F20" s="4"/>
      <c r="G20" s="4"/>
      <c r="H20" s="4"/>
      <c r="I20" s="4"/>
      <c r="J20" s="4"/>
      <c r="K20" s="4"/>
      <c r="L20" s="4"/>
      <c r="M20" s="8"/>
      <c r="N20" s="8"/>
      <c r="O20" s="8"/>
      <c r="P20" s="8"/>
      <c r="Q20" s="8"/>
      <c r="R20" s="8"/>
    </row>
    <row r="21" spans="1:18">
      <c r="A21" s="6"/>
      <c r="B21" s="9"/>
      <c r="C21" s="9"/>
      <c r="D21" s="4"/>
      <c r="E21" s="4"/>
      <c r="F21" s="4"/>
      <c r="G21" s="4"/>
      <c r="H21" s="4"/>
      <c r="I21" s="4"/>
      <c r="J21" s="4"/>
      <c r="K21" s="4"/>
      <c r="L21" s="4"/>
      <c r="M21" s="8"/>
      <c r="N21" s="8"/>
      <c r="O21" s="8"/>
      <c r="P21" s="8"/>
      <c r="Q21" s="8"/>
      <c r="R21" s="8"/>
    </row>
    <row r="22" spans="1:18">
      <c r="A22" s="3"/>
      <c r="B22" s="9" t="s">
        <v>58</v>
      </c>
      <c r="C22" s="9" t="s">
        <v>76</v>
      </c>
      <c r="D22" s="3"/>
      <c r="E22" s="3"/>
      <c r="F22" s="3"/>
      <c r="G22" s="4"/>
      <c r="H22" s="4"/>
      <c r="I22" s="4"/>
      <c r="J22" s="4"/>
      <c r="K22" s="4"/>
      <c r="L22" s="4"/>
    </row>
    <row r="23" spans="1:18">
      <c r="A23" s="3"/>
      <c r="B23" s="3"/>
      <c r="C23" s="3"/>
      <c r="D23" s="3"/>
      <c r="E23" s="3"/>
      <c r="F23" s="3"/>
      <c r="G23" s="4"/>
      <c r="H23" s="4"/>
      <c r="I23" s="4"/>
      <c r="J23" s="4"/>
      <c r="K23" s="4"/>
      <c r="L23" s="4"/>
    </row>
    <row r="24" spans="1:18">
      <c r="A24" s="7"/>
      <c r="B24" s="7"/>
      <c r="C24" s="7"/>
      <c r="D24" s="7"/>
      <c r="E24" s="7"/>
      <c r="F24" s="7"/>
      <c r="G24" s="7"/>
      <c r="H24" s="7"/>
      <c r="I24" s="7"/>
      <c r="J24" s="7"/>
      <c r="K24" s="7"/>
      <c r="L24" s="7"/>
      <c r="M24" s="7"/>
    </row>
    <row r="25" spans="1:18">
      <c r="A25" s="7" t="s">
        <v>1</v>
      </c>
      <c r="B25" s="7"/>
      <c r="C25" s="7"/>
      <c r="D25" s="7"/>
      <c r="E25" s="7"/>
      <c r="F25" s="7"/>
      <c r="G25" s="7"/>
      <c r="H25" s="7"/>
      <c r="I25" s="7"/>
      <c r="J25" s="7"/>
      <c r="K25" s="7"/>
      <c r="L25" s="7"/>
      <c r="M25" s="7"/>
      <c r="N25" s="8"/>
    </row>
    <row r="26" spans="1:18">
      <c r="B26" s="307" t="s">
        <v>350</v>
      </c>
      <c r="C26" s="307"/>
      <c r="D26" s="307" t="s">
        <v>351</v>
      </c>
      <c r="E26" s="307"/>
      <c r="F26" s="146"/>
      <c r="G26" s="94"/>
      <c r="M26" s="8"/>
      <c r="N26" s="8"/>
    </row>
    <row r="27" spans="1:18">
      <c r="B27" s="110" t="s">
        <v>345</v>
      </c>
      <c r="C27" s="110" t="s">
        <v>346</v>
      </c>
      <c r="D27" s="110" t="s">
        <v>75</v>
      </c>
      <c r="E27" s="110" t="s">
        <v>76</v>
      </c>
      <c r="F27" s="146"/>
      <c r="G27" s="94"/>
      <c r="M27" s="8"/>
      <c r="N27" s="8"/>
    </row>
    <row r="28" spans="1:18">
      <c r="B28" s="149">
        <v>0</v>
      </c>
      <c r="C28" s="149">
        <f>D11</f>
        <v>2000000</v>
      </c>
      <c r="D28" s="149">
        <f>MIN(C28,$D$15)</f>
        <v>2000000</v>
      </c>
      <c r="E28" s="149">
        <v>0</v>
      </c>
      <c r="F28" s="146"/>
      <c r="G28" s="94"/>
      <c r="M28" s="8"/>
      <c r="N28" s="8"/>
    </row>
    <row r="29" spans="1:18">
      <c r="B29" s="149">
        <f>C28</f>
        <v>2000000</v>
      </c>
      <c r="C29" s="149">
        <f>H12</f>
        <v>4000000</v>
      </c>
      <c r="D29" s="149">
        <f>0.5*IF($D$15&gt;B29,MIN($D$15,C29)-B29,0)</f>
        <v>1000000</v>
      </c>
      <c r="E29" s="149">
        <f>D29</f>
        <v>1000000</v>
      </c>
      <c r="F29" s="146"/>
      <c r="G29" s="94"/>
      <c r="M29" s="8"/>
      <c r="N29" s="8"/>
    </row>
    <row r="30" spans="1:18">
      <c r="B30" s="149">
        <f>C29</f>
        <v>4000000</v>
      </c>
      <c r="C30" s="149">
        <f>G13</f>
        <v>10000000</v>
      </c>
      <c r="D30" s="149">
        <v>0</v>
      </c>
      <c r="E30" s="149">
        <f>IF($D$15&gt;B30,MIN($D$15,C30)-B30,0)</f>
        <v>4000000</v>
      </c>
      <c r="F30" s="146"/>
      <c r="G30" s="94"/>
      <c r="M30" s="8"/>
      <c r="N30" s="8"/>
    </row>
    <row r="31" spans="1:18">
      <c r="B31" s="150">
        <f>C30</f>
        <v>10000000</v>
      </c>
      <c r="C31" s="150"/>
      <c r="D31" s="150">
        <f>IF($D$15&gt;B31,$D$15-B31,0)</f>
        <v>0</v>
      </c>
      <c r="E31" s="150">
        <v>0</v>
      </c>
      <c r="F31" s="146"/>
      <c r="G31" s="94"/>
      <c r="M31" s="8"/>
      <c r="N31" s="8"/>
    </row>
    <row r="32" spans="1:18">
      <c r="B32" s="148" t="s">
        <v>97</v>
      </c>
      <c r="D32" s="149">
        <f>SUM(D28:D31)</f>
        <v>3000000</v>
      </c>
      <c r="E32" s="149">
        <f>SUM(E28:E31)</f>
        <v>5000000</v>
      </c>
      <c r="F32" s="146"/>
      <c r="G32" s="94"/>
      <c r="M32" s="8"/>
      <c r="N32" s="8"/>
    </row>
    <row r="33" spans="1:14">
      <c r="M33" s="8"/>
      <c r="N33" s="8"/>
    </row>
    <row r="34" spans="1:14">
      <c r="A34" s="9"/>
      <c r="B34" s="9"/>
      <c r="C34" s="9"/>
      <c r="D34" s="9"/>
      <c r="E34" s="9"/>
      <c r="F34" s="9"/>
      <c r="G34" s="9"/>
      <c r="H34" s="9"/>
      <c r="I34" s="9"/>
      <c r="J34" s="9"/>
      <c r="K34" s="9"/>
      <c r="L34" s="9"/>
      <c r="M34" s="8"/>
      <c r="N34" s="8"/>
    </row>
    <row r="35" spans="1:14">
      <c r="A35" s="9" t="s">
        <v>295</v>
      </c>
      <c r="B35" s="9"/>
      <c r="C35" s="52">
        <v>1000000</v>
      </c>
      <c r="D35" s="9" t="s">
        <v>73</v>
      </c>
      <c r="E35" s="9"/>
      <c r="F35" s="9"/>
      <c r="G35" s="52">
        <v>8000000</v>
      </c>
      <c r="H35" s="9" t="s">
        <v>72</v>
      </c>
      <c r="I35" s="9"/>
      <c r="J35" s="9"/>
      <c r="K35" s="9"/>
      <c r="L35" s="9"/>
      <c r="M35" s="8"/>
      <c r="N35" s="8"/>
    </row>
    <row r="36" spans="1:14">
      <c r="A36" s="9"/>
      <c r="B36" s="9"/>
      <c r="C36" s="54"/>
      <c r="D36" s="9"/>
      <c r="E36" s="9"/>
      <c r="F36" s="9"/>
      <c r="G36" s="54"/>
      <c r="H36" s="9"/>
      <c r="I36" s="9"/>
      <c r="J36" s="9"/>
      <c r="K36" s="9"/>
      <c r="L36" s="9"/>
      <c r="M36" s="8"/>
      <c r="N36" s="8"/>
    </row>
    <row r="38" spans="1:14">
      <c r="A38" s="6" t="s">
        <v>2</v>
      </c>
      <c r="B38" s="9" t="s">
        <v>77</v>
      </c>
      <c r="C38" s="4"/>
      <c r="D38" s="4"/>
      <c r="E38" s="4"/>
      <c r="F38" s="4"/>
      <c r="G38" s="4"/>
      <c r="H38" s="4"/>
      <c r="I38" s="4"/>
      <c r="J38" s="4"/>
      <c r="K38" s="4"/>
      <c r="L38" s="4"/>
    </row>
    <row r="39" spans="1:14">
      <c r="A39" s="6"/>
      <c r="B39" s="4"/>
      <c r="C39" s="4"/>
      <c r="D39" s="4"/>
      <c r="E39" s="4"/>
      <c r="F39" s="4"/>
      <c r="G39" s="4"/>
      <c r="H39" s="4"/>
      <c r="I39" s="4"/>
      <c r="J39" s="4"/>
      <c r="K39" s="4"/>
      <c r="L39" s="4"/>
    </row>
    <row r="40" spans="1:14">
      <c r="A40" s="6"/>
      <c r="B40" s="32" t="s">
        <v>56</v>
      </c>
      <c r="C40" s="9" t="s">
        <v>75</v>
      </c>
      <c r="D40" s="4"/>
      <c r="E40" s="4"/>
      <c r="F40" s="4"/>
      <c r="G40" s="4"/>
      <c r="H40" s="4"/>
      <c r="I40" s="4"/>
      <c r="J40" s="4"/>
      <c r="K40" s="4"/>
      <c r="L40" s="4"/>
    </row>
    <row r="41" spans="1:14">
      <c r="A41" s="6"/>
      <c r="B41" s="9"/>
      <c r="C41" s="9"/>
      <c r="D41" s="4"/>
      <c r="E41" s="4"/>
      <c r="F41" s="4"/>
      <c r="G41" s="4"/>
      <c r="H41" s="4"/>
      <c r="I41" s="4"/>
      <c r="J41" s="4"/>
      <c r="K41" s="4"/>
      <c r="L41" s="4"/>
    </row>
    <row r="42" spans="1:14">
      <c r="A42" s="6"/>
      <c r="B42" s="9" t="s">
        <v>58</v>
      </c>
      <c r="C42" s="9" t="s">
        <v>76</v>
      </c>
      <c r="D42" s="4"/>
      <c r="E42" s="4"/>
      <c r="F42" s="4"/>
      <c r="G42" s="4"/>
      <c r="H42" s="4"/>
      <c r="I42" s="4"/>
      <c r="J42" s="4"/>
      <c r="K42" s="4"/>
      <c r="L42" s="4"/>
    </row>
    <row r="43" spans="1:14">
      <c r="A43" s="3"/>
      <c r="B43" s="3"/>
      <c r="C43" s="3"/>
      <c r="D43" s="3"/>
      <c r="E43" s="3"/>
      <c r="F43" s="3"/>
      <c r="G43" s="4"/>
      <c r="H43" s="4"/>
      <c r="I43" s="4"/>
      <c r="J43" s="4"/>
      <c r="K43" s="4"/>
      <c r="L43" s="4"/>
    </row>
    <row r="44" spans="1:14">
      <c r="A44" s="7"/>
      <c r="B44" s="7"/>
      <c r="C44" s="7"/>
      <c r="D44" s="7"/>
      <c r="E44" s="7"/>
      <c r="F44" s="7"/>
      <c r="G44" s="7"/>
      <c r="H44" s="7"/>
      <c r="I44" s="7"/>
      <c r="J44" s="7"/>
      <c r="K44" s="7"/>
      <c r="L44" s="7"/>
    </row>
    <row r="45" spans="1:14">
      <c r="A45" s="7" t="s">
        <v>1</v>
      </c>
      <c r="B45" s="7"/>
      <c r="C45" s="7"/>
      <c r="D45" s="7"/>
      <c r="E45" s="7"/>
      <c r="F45" s="7"/>
      <c r="G45" s="7"/>
      <c r="H45" s="7"/>
      <c r="I45" s="7"/>
      <c r="J45" s="7"/>
      <c r="K45" s="7"/>
      <c r="L45" s="7"/>
    </row>
    <row r="46" spans="1:14">
      <c r="A46" s="7"/>
      <c r="B46" s="7"/>
      <c r="C46" s="7"/>
      <c r="D46" s="7"/>
      <c r="E46" s="7"/>
      <c r="F46" s="7"/>
      <c r="G46" s="7"/>
      <c r="H46" s="7"/>
      <c r="I46" s="7"/>
      <c r="J46" s="7"/>
      <c r="K46" s="7"/>
      <c r="L46" s="7"/>
    </row>
    <row r="47" spans="1:14">
      <c r="B47" s="146" t="s">
        <v>348</v>
      </c>
      <c r="C47" s="152">
        <f>C35/G35</f>
        <v>0.125</v>
      </c>
      <c r="D47" s="146"/>
      <c r="E47" s="146"/>
      <c r="F47" s="146"/>
      <c r="M47" s="7"/>
    </row>
    <row r="48" spans="1:14">
      <c r="B48" s="146"/>
      <c r="C48" s="152"/>
      <c r="D48" s="146"/>
      <c r="E48" s="146"/>
      <c r="F48" s="146"/>
      <c r="M48" s="7"/>
    </row>
    <row r="49" spans="1:13">
      <c r="B49" s="146"/>
      <c r="C49" s="307" t="s">
        <v>351</v>
      </c>
      <c r="D49" s="307"/>
      <c r="E49" s="146"/>
      <c r="F49" s="146"/>
      <c r="M49" s="7"/>
    </row>
    <row r="50" spans="1:13">
      <c r="B50" s="153"/>
      <c r="C50" s="110" t="s">
        <v>75</v>
      </c>
      <c r="D50" s="110" t="s">
        <v>76</v>
      </c>
      <c r="F50" s="146"/>
      <c r="M50" s="7"/>
    </row>
    <row r="51" spans="1:13">
      <c r="B51" s="146" t="s">
        <v>344</v>
      </c>
      <c r="C51" s="147">
        <f>D32</f>
        <v>3000000</v>
      </c>
      <c r="D51" s="147">
        <f>E32</f>
        <v>5000000</v>
      </c>
      <c r="F51" s="146"/>
    </row>
    <row r="52" spans="1:13">
      <c r="B52" s="153" t="s">
        <v>347</v>
      </c>
      <c r="C52" s="154">
        <f>$C$47*C51</f>
        <v>375000</v>
      </c>
      <c r="D52" s="154">
        <f>$C$47*D51</f>
        <v>625000</v>
      </c>
      <c r="F52" s="146"/>
    </row>
    <row r="53" spans="1:13">
      <c r="B53" s="155" t="s">
        <v>97</v>
      </c>
      <c r="C53" s="147">
        <f>SUM(C51:C52)</f>
        <v>3375000</v>
      </c>
      <c r="D53" s="147">
        <f>SUM(D51:D52)</f>
        <v>5625000</v>
      </c>
      <c r="F53" s="146"/>
    </row>
    <row r="55" spans="1:13">
      <c r="A55" s="9"/>
      <c r="B55" s="9"/>
      <c r="C55" s="9"/>
      <c r="D55" s="9"/>
      <c r="E55" s="9"/>
      <c r="F55" s="9"/>
      <c r="G55" s="9"/>
      <c r="H55" s="9"/>
      <c r="I55" s="9"/>
      <c r="J55" s="9"/>
      <c r="K55" s="9"/>
      <c r="L55" s="9"/>
    </row>
    <row r="56" spans="1:13">
      <c r="A56" s="293" t="s">
        <v>302</v>
      </c>
      <c r="B56" s="293"/>
      <c r="C56" s="293"/>
      <c r="D56" s="293"/>
      <c r="E56" s="293"/>
      <c r="F56" s="293"/>
      <c r="G56" s="293"/>
      <c r="H56" s="293"/>
      <c r="I56" s="293"/>
      <c r="J56" s="293"/>
      <c r="K56" s="293"/>
      <c r="L56" s="9"/>
    </row>
    <row r="57" spans="1:13">
      <c r="A57" s="293"/>
      <c r="B57" s="293"/>
      <c r="C57" s="293"/>
      <c r="D57" s="293"/>
      <c r="E57" s="293"/>
      <c r="F57" s="293"/>
      <c r="G57" s="293"/>
      <c r="H57" s="293"/>
      <c r="I57" s="293"/>
      <c r="J57" s="293"/>
      <c r="K57" s="293"/>
      <c r="L57" s="9"/>
    </row>
    <row r="58" spans="1:13">
      <c r="A58" s="9"/>
      <c r="B58" s="9"/>
      <c r="C58" s="9"/>
      <c r="D58" s="9"/>
      <c r="E58" s="9"/>
      <c r="F58" s="9"/>
      <c r="G58" s="9"/>
      <c r="H58" s="9"/>
      <c r="I58" s="9"/>
      <c r="J58" s="9"/>
      <c r="K58" s="9"/>
      <c r="L58" s="9"/>
    </row>
    <row r="59" spans="1:13">
      <c r="A59" s="9" t="s">
        <v>299</v>
      </c>
      <c r="B59" s="9"/>
      <c r="C59" s="52">
        <v>12000000</v>
      </c>
      <c r="D59" s="9" t="s">
        <v>78</v>
      </c>
      <c r="E59" s="9"/>
      <c r="F59" s="9"/>
      <c r="G59" s="9"/>
      <c r="H59" s="9"/>
      <c r="I59" s="9"/>
      <c r="J59" s="9"/>
      <c r="K59" s="9"/>
      <c r="L59" s="9"/>
    </row>
    <row r="60" spans="1:13">
      <c r="A60" s="9" t="s">
        <v>71</v>
      </c>
      <c r="B60" s="9"/>
      <c r="C60" s="52">
        <v>1000000</v>
      </c>
      <c r="D60" s="9" t="s">
        <v>79</v>
      </c>
      <c r="E60" s="9"/>
      <c r="F60" s="9"/>
      <c r="G60" s="52">
        <v>12000000</v>
      </c>
      <c r="H60" s="9" t="s">
        <v>72</v>
      </c>
      <c r="I60" s="9"/>
      <c r="J60" s="9"/>
      <c r="K60" s="9"/>
      <c r="L60" s="9"/>
    </row>
    <row r="61" spans="1:13">
      <c r="A61" s="9"/>
      <c r="B61" s="9"/>
      <c r="C61" s="9"/>
      <c r="D61" s="9"/>
      <c r="E61" s="9"/>
      <c r="F61" s="9"/>
      <c r="G61" s="9"/>
      <c r="H61" s="9"/>
      <c r="I61" s="9"/>
      <c r="J61" s="9"/>
      <c r="K61" s="9"/>
      <c r="L61" s="9"/>
    </row>
    <row r="63" spans="1:13">
      <c r="A63" s="6" t="s">
        <v>3</v>
      </c>
      <c r="B63" s="293" t="s">
        <v>80</v>
      </c>
      <c r="C63" s="293"/>
      <c r="D63" s="293"/>
      <c r="E63" s="293"/>
      <c r="F63" s="293"/>
      <c r="G63" s="293"/>
      <c r="H63" s="293"/>
      <c r="I63" s="293"/>
      <c r="J63" s="293"/>
      <c r="K63" s="293"/>
      <c r="L63" s="4"/>
    </row>
    <row r="64" spans="1:13">
      <c r="A64" s="6"/>
      <c r="B64" s="293"/>
      <c r="C64" s="293"/>
      <c r="D64" s="293"/>
      <c r="E64" s="293"/>
      <c r="F64" s="293"/>
      <c r="G64" s="293"/>
      <c r="H64" s="293"/>
      <c r="I64" s="293"/>
      <c r="J64" s="293"/>
      <c r="K64" s="293"/>
      <c r="L64" s="4"/>
    </row>
    <row r="65" spans="1:14">
      <c r="A65" s="6"/>
      <c r="B65" s="4"/>
      <c r="C65" s="4"/>
      <c r="D65" s="4"/>
      <c r="E65" s="4"/>
      <c r="F65" s="4"/>
      <c r="G65" s="4"/>
      <c r="H65" s="4"/>
      <c r="I65" s="4"/>
      <c r="J65" s="4"/>
      <c r="K65" s="4"/>
      <c r="L65" s="4"/>
    </row>
    <row r="66" spans="1:14">
      <c r="A66" s="6"/>
      <c r="B66" s="32" t="s">
        <v>56</v>
      </c>
      <c r="C66" s="9" t="s">
        <v>75</v>
      </c>
      <c r="D66" s="4"/>
      <c r="E66" s="4"/>
      <c r="F66" s="4"/>
      <c r="G66" s="4"/>
      <c r="H66" s="4"/>
      <c r="I66" s="4"/>
      <c r="J66" s="4"/>
      <c r="K66" s="4"/>
      <c r="L66" s="4"/>
    </row>
    <row r="67" spans="1:14">
      <c r="A67" s="6"/>
      <c r="B67" s="9"/>
      <c r="C67" s="9"/>
      <c r="D67" s="4"/>
      <c r="E67" s="4"/>
      <c r="F67" s="4"/>
      <c r="G67" s="4"/>
      <c r="H67" s="4"/>
      <c r="I67" s="4"/>
      <c r="J67" s="4"/>
      <c r="K67" s="4"/>
      <c r="L67" s="4"/>
    </row>
    <row r="68" spans="1:14">
      <c r="A68" s="6"/>
      <c r="B68" s="9" t="s">
        <v>58</v>
      </c>
      <c r="C68" s="9" t="s">
        <v>76</v>
      </c>
      <c r="D68" s="4"/>
      <c r="E68" s="4"/>
      <c r="F68" s="4"/>
      <c r="G68" s="4"/>
      <c r="H68" s="4"/>
      <c r="I68" s="4"/>
      <c r="J68" s="4"/>
      <c r="K68" s="4"/>
      <c r="L68" s="4"/>
    </row>
    <row r="69" spans="1:14">
      <c r="A69" s="3"/>
      <c r="B69" s="3"/>
      <c r="C69" s="3"/>
      <c r="D69" s="3"/>
      <c r="E69" s="3"/>
      <c r="F69" s="3"/>
      <c r="G69" s="4"/>
      <c r="H69" s="4"/>
      <c r="I69" s="4"/>
      <c r="J69" s="4"/>
      <c r="K69" s="4"/>
      <c r="L69" s="4"/>
    </row>
    <row r="70" spans="1:14">
      <c r="A70" s="7"/>
      <c r="B70" s="7"/>
      <c r="C70" s="7"/>
      <c r="D70" s="7"/>
      <c r="E70" s="7"/>
      <c r="F70" s="7"/>
      <c r="G70" s="7"/>
      <c r="H70" s="7"/>
      <c r="I70" s="7"/>
      <c r="J70" s="7"/>
      <c r="K70" s="7"/>
      <c r="L70" s="7"/>
    </row>
    <row r="71" spans="1:14">
      <c r="A71" s="7" t="s">
        <v>1</v>
      </c>
      <c r="B71" s="7"/>
      <c r="C71" s="7"/>
      <c r="D71" s="7"/>
      <c r="E71" s="7"/>
      <c r="F71" s="7"/>
      <c r="G71" s="7"/>
      <c r="H71" s="7"/>
      <c r="I71" s="7"/>
      <c r="J71" s="7"/>
      <c r="K71" s="7"/>
      <c r="L71" s="7"/>
    </row>
    <row r="72" spans="1:14">
      <c r="A72" s="7"/>
      <c r="B72" s="156" t="s">
        <v>349</v>
      </c>
      <c r="D72" s="147">
        <f>C60+C59</f>
        <v>13000000</v>
      </c>
      <c r="E72" s="146"/>
      <c r="F72" s="151"/>
      <c r="G72" s="151"/>
      <c r="H72" s="151"/>
      <c r="I72" s="7"/>
      <c r="J72" s="7"/>
      <c r="K72" s="7"/>
      <c r="L72" s="7"/>
    </row>
    <row r="73" spans="1:14">
      <c r="A73" s="7"/>
      <c r="B73" s="146"/>
      <c r="C73" s="146"/>
      <c r="D73" s="146"/>
      <c r="E73" s="146"/>
      <c r="F73" s="151"/>
      <c r="G73" s="151"/>
      <c r="H73" s="151"/>
      <c r="I73" s="7"/>
      <c r="J73" s="7"/>
      <c r="K73" s="7"/>
      <c r="L73" s="7"/>
    </row>
    <row r="74" spans="1:14">
      <c r="A74" s="7"/>
      <c r="B74" s="307" t="s">
        <v>350</v>
      </c>
      <c r="C74" s="307"/>
      <c r="D74" s="307" t="s">
        <v>351</v>
      </c>
      <c r="E74" s="307"/>
      <c r="F74" s="151"/>
      <c r="G74" s="151"/>
      <c r="H74" s="151"/>
      <c r="I74" s="7"/>
      <c r="J74" s="7"/>
      <c r="K74" s="7"/>
      <c r="L74" s="7"/>
    </row>
    <row r="75" spans="1:14">
      <c r="B75" s="110" t="s">
        <v>345</v>
      </c>
      <c r="C75" s="110" t="s">
        <v>346</v>
      </c>
      <c r="D75" s="110" t="s">
        <v>75</v>
      </c>
      <c r="E75" s="110" t="s">
        <v>76</v>
      </c>
      <c r="F75" s="146"/>
      <c r="G75" s="146"/>
      <c r="H75" s="146"/>
    </row>
    <row r="76" spans="1:14">
      <c r="B76" s="149">
        <v>0</v>
      </c>
      <c r="C76" s="149">
        <v>2000000</v>
      </c>
      <c r="D76" s="149">
        <f>MIN(C76,$D$72)</f>
        <v>2000000</v>
      </c>
      <c r="E76" s="149">
        <v>0</v>
      </c>
      <c r="F76" s="146"/>
      <c r="G76" s="146"/>
      <c r="H76" s="146"/>
    </row>
    <row r="77" spans="1:14">
      <c r="B77" s="149">
        <f>C76</f>
        <v>2000000</v>
      </c>
      <c r="C77" s="149">
        <v>4000000</v>
      </c>
      <c r="D77" s="149">
        <f>0.5*IF($D$72&gt;B77,MIN($D$72,C77)-B77,0)</f>
        <v>1000000</v>
      </c>
      <c r="E77" s="149">
        <f>D77</f>
        <v>1000000</v>
      </c>
      <c r="F77" s="146"/>
      <c r="G77" s="146"/>
      <c r="H77" s="146"/>
      <c r="M77" s="7"/>
      <c r="N77" s="7"/>
    </row>
    <row r="78" spans="1:14">
      <c r="B78" s="149">
        <f>C77</f>
        <v>4000000</v>
      </c>
      <c r="C78" s="149">
        <v>10000000</v>
      </c>
      <c r="D78" s="149">
        <v>0</v>
      </c>
      <c r="E78" s="149">
        <f>IF($D$72&gt;B78,MIN($D$72,C78)-B78,0)</f>
        <v>6000000</v>
      </c>
      <c r="F78" s="146"/>
      <c r="G78" s="146"/>
      <c r="H78" s="146"/>
      <c r="M78" s="7"/>
      <c r="N78" s="7"/>
    </row>
    <row r="79" spans="1:14">
      <c r="B79" s="150">
        <f>C78</f>
        <v>10000000</v>
      </c>
      <c r="C79" s="150"/>
      <c r="D79" s="150">
        <f>IF($D$72&gt;B79,$D$72-B79,0)</f>
        <v>3000000</v>
      </c>
      <c r="E79" s="150">
        <v>0</v>
      </c>
      <c r="F79" s="146"/>
      <c r="G79" s="146"/>
      <c r="H79" s="146"/>
      <c r="M79" s="7"/>
      <c r="N79" s="7"/>
    </row>
    <row r="80" spans="1:14">
      <c r="B80" s="148" t="s">
        <v>97</v>
      </c>
      <c r="D80" s="149">
        <f>SUM(D76:D79)</f>
        <v>6000000</v>
      </c>
      <c r="E80" s="149">
        <f>SUM(E76:E79)</f>
        <v>7000000</v>
      </c>
      <c r="F80" s="146"/>
      <c r="G80" s="146"/>
      <c r="H80" s="146"/>
    </row>
    <row r="81" spans="2:8">
      <c r="B81" s="146"/>
      <c r="C81" s="146"/>
      <c r="D81" s="146"/>
      <c r="E81" s="146"/>
      <c r="F81" s="146"/>
      <c r="G81" s="146"/>
      <c r="H81" s="146"/>
    </row>
  </sheetData>
  <mergeCells count="7">
    <mergeCell ref="B63:K64"/>
    <mergeCell ref="A56:K57"/>
    <mergeCell ref="B26:C26"/>
    <mergeCell ref="D26:E26"/>
    <mergeCell ref="B74:C74"/>
    <mergeCell ref="D74:E74"/>
    <mergeCell ref="C49:D49"/>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62004-82C3-4777-A079-4B42158E9643}">
  <dimension ref="A1:R204"/>
  <sheetViews>
    <sheetView zoomScaleNormal="100" workbookViewId="0"/>
  </sheetViews>
  <sheetFormatPr defaultColWidth="8.88671875" defaultRowHeight="15.6"/>
  <cols>
    <col min="1" max="1" width="8.88671875" style="1" customWidth="1"/>
    <col min="2" max="2" width="15.33203125" style="1" customWidth="1"/>
    <col min="3" max="4" width="13.33203125" style="1" customWidth="1"/>
    <col min="5" max="5" width="15.6640625" style="1" customWidth="1"/>
    <col min="6" max="6" width="14.88671875" style="1" customWidth="1"/>
    <col min="7" max="7" width="18.6640625" style="1" customWidth="1"/>
    <col min="8" max="11" width="13.33203125" style="1" customWidth="1"/>
    <col min="12" max="16384" width="8.88671875" style="1"/>
  </cols>
  <sheetData>
    <row r="1" spans="1:12" ht="17.399999999999999">
      <c r="A1" s="2" t="s">
        <v>81</v>
      </c>
      <c r="B1" s="4"/>
      <c r="C1" s="9" t="s">
        <v>82</v>
      </c>
      <c r="D1" s="4"/>
      <c r="E1" s="4"/>
      <c r="F1" s="4"/>
      <c r="G1" s="4"/>
      <c r="H1" s="4"/>
      <c r="I1" s="4"/>
      <c r="J1" s="4"/>
      <c r="K1" s="4"/>
      <c r="L1" s="3"/>
    </row>
    <row r="2" spans="1:12">
      <c r="A2" s="4"/>
      <c r="B2" s="4"/>
      <c r="C2" s="4"/>
      <c r="D2" s="4"/>
      <c r="E2" s="4"/>
      <c r="F2" s="4"/>
      <c r="G2" s="4"/>
      <c r="H2" s="4"/>
      <c r="I2" s="4"/>
      <c r="J2" s="4"/>
      <c r="K2" s="4"/>
      <c r="L2" s="3"/>
    </row>
    <row r="3" spans="1:12">
      <c r="A3" s="12" t="s">
        <v>83</v>
      </c>
      <c r="B3" s="12"/>
      <c r="C3" s="12"/>
      <c r="D3" s="12"/>
      <c r="E3" s="12"/>
      <c r="F3" s="12"/>
      <c r="G3" s="12"/>
      <c r="H3" s="12"/>
      <c r="I3" s="12"/>
      <c r="J3" s="12"/>
      <c r="K3" s="4"/>
      <c r="L3" s="3"/>
    </row>
    <row r="4" spans="1:12" s="11" customFormat="1">
      <c r="A4" s="13"/>
      <c r="B4" s="12"/>
      <c r="C4" s="12"/>
      <c r="D4" s="12"/>
      <c r="E4" s="12"/>
      <c r="F4" s="12"/>
      <c r="G4" s="12"/>
      <c r="H4" s="10"/>
      <c r="I4" s="10"/>
      <c r="J4" s="10"/>
      <c r="K4" s="10"/>
      <c r="L4" s="10"/>
    </row>
    <row r="5" spans="1:12" s="11" customFormat="1">
      <c r="A5" s="13"/>
      <c r="B5" s="33" t="s">
        <v>31</v>
      </c>
      <c r="C5" s="291" t="s">
        <v>33</v>
      </c>
      <c r="D5" s="291"/>
      <c r="E5" s="291"/>
      <c r="F5" s="291"/>
      <c r="G5" s="291"/>
      <c r="H5" s="291"/>
      <c r="I5" s="291"/>
      <c r="J5" s="33" t="s">
        <v>300</v>
      </c>
      <c r="K5" s="10"/>
      <c r="L5" s="10"/>
    </row>
    <row r="6" spans="1:12" s="11" customFormat="1">
      <c r="A6" s="13"/>
      <c r="B6" s="34" t="s">
        <v>32</v>
      </c>
      <c r="C6" s="35">
        <v>12</v>
      </c>
      <c r="D6" s="35">
        <v>24</v>
      </c>
      <c r="E6" s="35">
        <v>36</v>
      </c>
      <c r="F6" s="35">
        <v>48</v>
      </c>
      <c r="G6" s="35">
        <v>60</v>
      </c>
      <c r="H6" s="35">
        <v>72</v>
      </c>
      <c r="I6" s="35">
        <v>84</v>
      </c>
      <c r="J6" s="34" t="s">
        <v>301</v>
      </c>
      <c r="K6" s="10"/>
      <c r="L6" s="10"/>
    </row>
    <row r="7" spans="1:12" s="11" customFormat="1">
      <c r="A7" s="13"/>
      <c r="B7" s="16">
        <v>2015</v>
      </c>
      <c r="C7" s="17">
        <v>26457</v>
      </c>
      <c r="D7" s="17">
        <v>24686</v>
      </c>
      <c r="E7" s="17">
        <v>25884</v>
      </c>
      <c r="F7" s="17">
        <v>32193</v>
      </c>
      <c r="G7" s="17">
        <v>32398</v>
      </c>
      <c r="H7" s="17">
        <v>32722</v>
      </c>
      <c r="I7" s="17">
        <v>32886</v>
      </c>
      <c r="J7" s="90">
        <v>33051</v>
      </c>
      <c r="K7" s="10"/>
      <c r="L7" s="10"/>
    </row>
    <row r="8" spans="1:12" s="11" customFormat="1">
      <c r="A8" s="13"/>
      <c r="B8" s="16">
        <v>2016</v>
      </c>
      <c r="C8" s="17">
        <v>24327</v>
      </c>
      <c r="D8" s="17">
        <v>23397</v>
      </c>
      <c r="E8" s="17">
        <v>26233</v>
      </c>
      <c r="F8" s="17">
        <v>33132</v>
      </c>
      <c r="G8" s="17">
        <v>34281</v>
      </c>
      <c r="H8" s="17">
        <v>34555</v>
      </c>
      <c r="I8" s="16"/>
      <c r="J8" s="90">
        <v>34902</v>
      </c>
      <c r="K8" s="10"/>
      <c r="L8" s="10"/>
    </row>
    <row r="9" spans="1:12" s="11" customFormat="1">
      <c r="A9" s="12"/>
      <c r="B9" s="16">
        <v>2017</v>
      </c>
      <c r="C9" s="17">
        <v>29941</v>
      </c>
      <c r="D9" s="17">
        <v>26497</v>
      </c>
      <c r="E9" s="17">
        <v>27059</v>
      </c>
      <c r="F9" s="17">
        <v>35029</v>
      </c>
      <c r="G9" s="17">
        <v>35972</v>
      </c>
      <c r="H9" s="16"/>
      <c r="I9" s="16"/>
      <c r="J9" s="90">
        <v>36660</v>
      </c>
      <c r="K9" s="10"/>
      <c r="L9" s="10"/>
    </row>
    <row r="10" spans="1:12" s="11" customFormat="1">
      <c r="A10" s="12"/>
      <c r="B10" s="16">
        <v>2018</v>
      </c>
      <c r="C10" s="17">
        <v>27447</v>
      </c>
      <c r="D10" s="17">
        <v>28164</v>
      </c>
      <c r="E10" s="17">
        <v>32125</v>
      </c>
      <c r="F10" s="17">
        <v>35453</v>
      </c>
      <c r="G10" s="16"/>
      <c r="H10" s="16"/>
      <c r="I10" s="16"/>
      <c r="J10" s="90">
        <v>36950</v>
      </c>
      <c r="K10" s="10"/>
      <c r="L10" s="10"/>
    </row>
    <row r="11" spans="1:12" s="11" customFormat="1">
      <c r="A11" s="13"/>
      <c r="B11" s="16">
        <v>2019</v>
      </c>
      <c r="C11" s="17">
        <v>27994</v>
      </c>
      <c r="D11" s="17">
        <v>28557</v>
      </c>
      <c r="E11" s="17">
        <v>33927</v>
      </c>
      <c r="F11" s="16"/>
      <c r="G11" s="16"/>
      <c r="H11" s="16"/>
      <c r="I11" s="16"/>
      <c r="J11" s="90">
        <v>43359</v>
      </c>
      <c r="K11" s="10"/>
      <c r="L11" s="10"/>
    </row>
    <row r="12" spans="1:12" s="11" customFormat="1">
      <c r="A12" s="12"/>
      <c r="B12" s="16">
        <v>2020</v>
      </c>
      <c r="C12" s="17">
        <v>28178</v>
      </c>
      <c r="D12" s="17">
        <v>31041</v>
      </c>
      <c r="E12" s="16"/>
      <c r="F12" s="16"/>
      <c r="G12" s="16"/>
      <c r="H12" s="16"/>
      <c r="I12" s="16"/>
      <c r="J12" s="90">
        <v>43793</v>
      </c>
      <c r="K12" s="10"/>
      <c r="L12" s="10"/>
    </row>
    <row r="13" spans="1:12" s="11" customFormat="1">
      <c r="A13" s="12"/>
      <c r="B13" s="16">
        <v>2021</v>
      </c>
      <c r="C13" s="17">
        <v>34227</v>
      </c>
      <c r="D13" s="16"/>
      <c r="E13" s="16"/>
      <c r="F13" s="16"/>
      <c r="G13" s="16"/>
      <c r="H13" s="16"/>
      <c r="I13" s="16"/>
      <c r="J13" s="90">
        <v>47706</v>
      </c>
      <c r="K13" s="10"/>
      <c r="L13" s="10"/>
    </row>
    <row r="14" spans="1:12" s="11" customFormat="1">
      <c r="A14" s="12"/>
      <c r="B14" s="12"/>
      <c r="C14" s="12"/>
      <c r="D14" s="12"/>
      <c r="E14" s="12"/>
      <c r="F14" s="12"/>
      <c r="G14" s="12"/>
      <c r="H14" s="10"/>
      <c r="I14" s="10"/>
      <c r="J14" s="10"/>
      <c r="K14" s="10"/>
      <c r="L14" s="10"/>
    </row>
    <row r="15" spans="1:12" s="11" customFormat="1">
      <c r="A15" s="12"/>
      <c r="B15" s="33" t="s">
        <v>31</v>
      </c>
      <c r="C15" s="291" t="s">
        <v>84</v>
      </c>
      <c r="D15" s="291"/>
      <c r="E15" s="291"/>
      <c r="F15" s="291"/>
      <c r="G15" s="291"/>
      <c r="H15" s="291"/>
      <c r="I15" s="291"/>
      <c r="J15" s="10"/>
      <c r="K15" s="10"/>
      <c r="L15" s="10"/>
    </row>
    <row r="16" spans="1:12" s="11" customFormat="1">
      <c r="A16" s="12"/>
      <c r="B16" s="34" t="s">
        <v>32</v>
      </c>
      <c r="C16" s="35">
        <v>12</v>
      </c>
      <c r="D16" s="35">
        <v>24</v>
      </c>
      <c r="E16" s="35">
        <v>36</v>
      </c>
      <c r="F16" s="35">
        <v>48</v>
      </c>
      <c r="G16" s="35">
        <v>60</v>
      </c>
      <c r="H16" s="35">
        <v>72</v>
      </c>
      <c r="I16" s="35">
        <v>84</v>
      </c>
      <c r="J16" s="10"/>
      <c r="K16" s="10"/>
      <c r="L16" s="10"/>
    </row>
    <row r="17" spans="1:12" s="11" customFormat="1">
      <c r="A17" s="12"/>
      <c r="B17" s="16">
        <v>2015</v>
      </c>
      <c r="C17" s="17">
        <v>8658</v>
      </c>
      <c r="D17" s="17">
        <v>16875</v>
      </c>
      <c r="E17" s="17">
        <v>22688</v>
      </c>
      <c r="F17" s="17">
        <v>27108</v>
      </c>
      <c r="G17" s="17">
        <v>29707</v>
      </c>
      <c r="H17" s="17">
        <v>31198</v>
      </c>
      <c r="I17" s="17">
        <v>31530</v>
      </c>
      <c r="J17" s="10"/>
      <c r="K17" s="10"/>
      <c r="L17" s="10"/>
    </row>
    <row r="18" spans="1:12" s="11" customFormat="1">
      <c r="A18" s="12"/>
      <c r="B18" s="16">
        <v>2016</v>
      </c>
      <c r="C18" s="17">
        <v>10793</v>
      </c>
      <c r="D18" s="17">
        <v>18254</v>
      </c>
      <c r="E18" s="17">
        <v>24319</v>
      </c>
      <c r="F18" s="17">
        <v>29431</v>
      </c>
      <c r="G18" s="17">
        <v>31170</v>
      </c>
      <c r="H18" s="17">
        <v>32966</v>
      </c>
      <c r="I18" s="16"/>
      <c r="J18" s="10"/>
      <c r="K18" s="10"/>
      <c r="L18" s="10"/>
    </row>
    <row r="19" spans="1:12" s="11" customFormat="1">
      <c r="A19" s="12"/>
      <c r="B19" s="16">
        <v>2017</v>
      </c>
      <c r="C19" s="17">
        <v>9664</v>
      </c>
      <c r="D19" s="17">
        <v>17663</v>
      </c>
      <c r="E19" s="17">
        <v>25519</v>
      </c>
      <c r="F19" s="17">
        <v>30636</v>
      </c>
      <c r="G19" s="17">
        <v>32690</v>
      </c>
      <c r="H19" s="16"/>
      <c r="I19" s="16"/>
      <c r="J19" s="10"/>
      <c r="K19" s="10"/>
      <c r="L19" s="10"/>
    </row>
    <row r="20" spans="1:12" s="11" customFormat="1">
      <c r="A20" s="12"/>
      <c r="B20" s="16">
        <v>2018</v>
      </c>
      <c r="C20" s="17">
        <v>10721</v>
      </c>
      <c r="D20" s="17">
        <v>18976</v>
      </c>
      <c r="E20" s="17">
        <v>25797</v>
      </c>
      <c r="F20" s="17">
        <v>32579</v>
      </c>
      <c r="G20" s="16"/>
      <c r="H20" s="16"/>
      <c r="I20" s="16"/>
      <c r="J20" s="10"/>
      <c r="K20" s="10"/>
      <c r="L20" s="10"/>
    </row>
    <row r="21" spans="1:12" s="11" customFormat="1">
      <c r="A21" s="12"/>
      <c r="B21" s="16">
        <v>2019</v>
      </c>
      <c r="C21" s="17">
        <v>11866</v>
      </c>
      <c r="D21" s="17">
        <v>20748</v>
      </c>
      <c r="E21" s="17">
        <v>26519</v>
      </c>
      <c r="F21" s="16"/>
      <c r="G21" s="16"/>
      <c r="H21" s="16"/>
      <c r="I21" s="16"/>
      <c r="J21" s="10"/>
      <c r="K21" s="10"/>
      <c r="L21" s="10"/>
    </row>
    <row r="22" spans="1:12" s="11" customFormat="1">
      <c r="A22" s="12"/>
      <c r="B22" s="16">
        <v>2020</v>
      </c>
      <c r="C22" s="17">
        <v>13014</v>
      </c>
      <c r="D22" s="17">
        <v>19889</v>
      </c>
      <c r="E22" s="16"/>
      <c r="F22" s="16"/>
      <c r="G22" s="16"/>
      <c r="H22" s="16"/>
      <c r="I22" s="16"/>
      <c r="J22" s="10"/>
      <c r="K22" s="10"/>
      <c r="L22" s="10"/>
    </row>
    <row r="23" spans="1:12" s="11" customFormat="1">
      <c r="A23" s="12"/>
      <c r="B23" s="16">
        <v>2021</v>
      </c>
      <c r="C23" s="17">
        <v>12410</v>
      </c>
      <c r="D23" s="16"/>
      <c r="E23" s="16"/>
      <c r="F23" s="16"/>
      <c r="G23" s="16"/>
      <c r="H23" s="16"/>
      <c r="I23" s="16"/>
      <c r="J23" s="10"/>
      <c r="K23" s="10"/>
      <c r="L23" s="10"/>
    </row>
    <row r="24" spans="1:12" s="11" customFormat="1">
      <c r="A24" s="12"/>
      <c r="B24" s="12"/>
      <c r="C24" s="12"/>
      <c r="D24" s="12"/>
      <c r="E24" s="12"/>
      <c r="F24" s="12"/>
      <c r="G24" s="12"/>
      <c r="H24" s="10"/>
      <c r="I24" s="10"/>
      <c r="J24" s="10"/>
      <c r="K24" s="10"/>
      <c r="L24" s="10"/>
    </row>
    <row r="25" spans="1:12" s="11" customFormat="1" ht="46.8" customHeight="1">
      <c r="A25" s="12"/>
      <c r="B25" s="15" t="s">
        <v>85</v>
      </c>
      <c r="C25" s="15" t="s">
        <v>16</v>
      </c>
      <c r="D25" s="15" t="s">
        <v>86</v>
      </c>
      <c r="E25" s="297" t="s">
        <v>87</v>
      </c>
      <c r="F25" s="297"/>
      <c r="G25" s="10"/>
      <c r="H25" s="10"/>
      <c r="I25" s="10"/>
      <c r="J25" s="10"/>
      <c r="K25" s="10"/>
      <c r="L25" s="10"/>
    </row>
    <row r="26" spans="1:12" s="11" customFormat="1">
      <c r="A26" s="12"/>
      <c r="B26" s="16">
        <v>2015</v>
      </c>
      <c r="C26" s="17">
        <v>49736108</v>
      </c>
      <c r="D26" s="36">
        <v>1.0722</v>
      </c>
      <c r="E26" s="308">
        <v>0.76800000000000002</v>
      </c>
      <c r="F26" s="308"/>
      <c r="G26" s="10"/>
      <c r="H26" s="10"/>
      <c r="I26" s="10"/>
      <c r="J26" s="10"/>
      <c r="K26" s="10"/>
      <c r="L26" s="10"/>
    </row>
    <row r="27" spans="1:12" s="11" customFormat="1">
      <c r="A27" s="12"/>
      <c r="B27" s="16">
        <v>2016</v>
      </c>
      <c r="C27" s="17">
        <v>52114124</v>
      </c>
      <c r="D27" s="36">
        <v>1.0681</v>
      </c>
      <c r="E27" s="308">
        <v>0.749</v>
      </c>
      <c r="F27" s="308"/>
      <c r="G27" s="10"/>
      <c r="H27" s="10"/>
      <c r="I27" s="10"/>
      <c r="J27" s="10"/>
      <c r="K27" s="10"/>
      <c r="L27" s="10"/>
    </row>
    <row r="28" spans="1:12" s="11" customFormat="1">
      <c r="A28" s="12"/>
      <c r="B28" s="16">
        <v>2017</v>
      </c>
      <c r="C28" s="17">
        <v>55021088</v>
      </c>
      <c r="D28" s="36">
        <v>1.042</v>
      </c>
      <c r="E28" s="308">
        <v>0.73799999999999999</v>
      </c>
      <c r="F28" s="308"/>
      <c r="G28" s="10"/>
      <c r="H28" s="10"/>
      <c r="I28" s="10"/>
      <c r="J28" s="10"/>
      <c r="K28" s="10"/>
      <c r="L28" s="10"/>
    </row>
    <row r="29" spans="1:12" s="11" customFormat="1">
      <c r="A29" s="12"/>
      <c r="B29" s="16">
        <v>2018</v>
      </c>
      <c r="C29" s="17">
        <v>56278147</v>
      </c>
      <c r="D29" s="36">
        <v>1.0265</v>
      </c>
      <c r="E29" s="308">
        <v>0.71199999999999997</v>
      </c>
      <c r="F29" s="308"/>
      <c r="G29" s="10"/>
      <c r="H29" s="10"/>
      <c r="I29" s="10"/>
      <c r="J29" s="10"/>
      <c r="K29" s="10"/>
      <c r="L29" s="10"/>
    </row>
    <row r="30" spans="1:12" s="11" customFormat="1">
      <c r="A30" s="12"/>
      <c r="B30" s="16">
        <v>2019</v>
      </c>
      <c r="C30" s="17">
        <v>58829789</v>
      </c>
      <c r="D30" s="36">
        <v>1.0182</v>
      </c>
      <c r="E30" s="308">
        <v>0.77700000000000002</v>
      </c>
      <c r="F30" s="308"/>
      <c r="G30" s="10"/>
      <c r="H30" s="10"/>
      <c r="I30" s="10"/>
      <c r="J30" s="10"/>
      <c r="K30" s="10"/>
      <c r="L30" s="10"/>
    </row>
    <row r="31" spans="1:12" s="11" customFormat="1">
      <c r="A31" s="12"/>
      <c r="B31" s="16">
        <v>2020</v>
      </c>
      <c r="C31" s="17">
        <v>61195354</v>
      </c>
      <c r="D31" s="36">
        <v>1.0092000000000001</v>
      </c>
      <c r="E31" s="308">
        <v>0.73499999999999999</v>
      </c>
      <c r="F31" s="308"/>
      <c r="G31" s="10"/>
      <c r="H31" s="10"/>
      <c r="I31" s="10"/>
      <c r="J31" s="10"/>
      <c r="K31" s="10"/>
      <c r="L31" s="10"/>
    </row>
    <row r="32" spans="1:12" s="11" customFormat="1">
      <c r="A32" s="12"/>
      <c r="B32" s="16">
        <v>2021</v>
      </c>
      <c r="C32" s="17">
        <v>60091505</v>
      </c>
      <c r="D32" s="36">
        <v>1</v>
      </c>
      <c r="E32" s="308">
        <v>0.79400000000000004</v>
      </c>
      <c r="F32" s="308"/>
      <c r="G32" s="10"/>
      <c r="H32" s="10"/>
      <c r="I32" s="10"/>
      <c r="J32" s="10"/>
      <c r="K32" s="10"/>
      <c r="L32" s="10"/>
    </row>
    <row r="33" spans="1:18" s="11" customFormat="1">
      <c r="A33" s="12"/>
      <c r="B33" s="12"/>
      <c r="C33" s="12"/>
      <c r="D33" s="12"/>
      <c r="E33" s="12"/>
      <c r="F33" s="12"/>
      <c r="G33" s="12"/>
      <c r="H33" s="10"/>
      <c r="I33" s="10"/>
      <c r="J33" s="10"/>
      <c r="K33" s="10"/>
      <c r="L33" s="10"/>
    </row>
    <row r="34" spans="1:18" s="11" customFormat="1">
      <c r="A34" s="12"/>
      <c r="B34" s="32" t="s">
        <v>88</v>
      </c>
      <c r="C34" s="10"/>
      <c r="D34" s="10"/>
      <c r="E34" s="84">
        <v>0.05</v>
      </c>
      <c r="F34" s="10"/>
      <c r="G34" s="12"/>
      <c r="H34" s="10"/>
      <c r="I34" s="10"/>
      <c r="J34" s="10"/>
      <c r="K34" s="10"/>
      <c r="L34" s="10"/>
    </row>
    <row r="35" spans="1:18" s="11" customFormat="1">
      <c r="A35" s="12"/>
      <c r="B35" s="9" t="s">
        <v>89</v>
      </c>
      <c r="C35" s="10"/>
      <c r="D35" s="10"/>
      <c r="E35" s="85">
        <v>-1.2999999999999999E-2</v>
      </c>
      <c r="F35" s="10"/>
      <c r="G35" s="12"/>
      <c r="H35" s="10"/>
      <c r="I35" s="10"/>
      <c r="J35" s="10"/>
      <c r="K35" s="10"/>
      <c r="L35" s="10"/>
    </row>
    <row r="36" spans="1:18">
      <c r="A36" s="9"/>
      <c r="B36" s="9"/>
      <c r="C36" s="9"/>
      <c r="D36" s="9"/>
      <c r="E36" s="9"/>
      <c r="F36" s="9"/>
      <c r="G36" s="9"/>
      <c r="H36" s="9"/>
      <c r="I36" s="9"/>
      <c r="J36" s="9"/>
      <c r="K36" s="9"/>
      <c r="L36" s="9"/>
    </row>
    <row r="38" spans="1:18">
      <c r="A38" s="6" t="s">
        <v>4</v>
      </c>
      <c r="B38" s="9" t="s">
        <v>90</v>
      </c>
      <c r="C38" s="4"/>
      <c r="D38" s="4"/>
      <c r="E38" s="4"/>
      <c r="F38" s="4"/>
      <c r="G38" s="4"/>
      <c r="H38" s="4"/>
      <c r="I38" s="4"/>
      <c r="J38" s="4"/>
      <c r="K38" s="4"/>
      <c r="L38" s="4"/>
      <c r="M38" s="8"/>
      <c r="N38" s="8"/>
      <c r="O38" s="8"/>
      <c r="P38" s="8"/>
      <c r="Q38" s="8"/>
      <c r="R38" s="8"/>
    </row>
    <row r="39" spans="1:18">
      <c r="A39" s="3"/>
      <c r="B39" s="3"/>
      <c r="C39" s="3"/>
      <c r="D39" s="3"/>
      <c r="E39" s="3"/>
      <c r="F39" s="3"/>
      <c r="G39" s="4"/>
      <c r="H39" s="4"/>
      <c r="I39" s="4"/>
      <c r="J39" s="4"/>
      <c r="K39" s="4"/>
      <c r="L39" s="4"/>
    </row>
    <row r="40" spans="1:18">
      <c r="A40" s="7"/>
      <c r="B40" s="7"/>
      <c r="C40" s="7"/>
      <c r="D40" s="7"/>
      <c r="E40" s="7"/>
      <c r="F40" s="7"/>
      <c r="G40" s="7"/>
      <c r="H40" s="7"/>
      <c r="I40" s="7"/>
      <c r="J40" s="7"/>
      <c r="K40" s="7"/>
      <c r="L40" s="7"/>
      <c r="M40" s="7"/>
    </row>
    <row r="41" spans="1:18">
      <c r="A41" s="7" t="s">
        <v>1</v>
      </c>
      <c r="B41" s="7"/>
      <c r="C41" s="7"/>
      <c r="D41" s="7"/>
      <c r="E41" s="7"/>
      <c r="F41" s="7"/>
      <c r="G41" s="7"/>
      <c r="H41" s="7"/>
      <c r="I41" s="7"/>
      <c r="J41" s="7"/>
      <c r="K41" s="7"/>
      <c r="L41" s="7"/>
      <c r="M41" s="7"/>
      <c r="N41" s="8"/>
    </row>
    <row r="42" spans="1:18">
      <c r="A42" s="7"/>
      <c r="B42" s="96"/>
      <c r="C42" s="163" t="s">
        <v>352</v>
      </c>
      <c r="D42" s="157"/>
      <c r="E42" s="157"/>
      <c r="F42" s="157"/>
      <c r="G42" s="157"/>
      <c r="H42" s="157"/>
      <c r="I42" s="94"/>
      <c r="J42" s="94"/>
      <c r="L42" s="7"/>
      <c r="M42" s="7"/>
      <c r="N42" s="8"/>
    </row>
    <row r="43" spans="1:18">
      <c r="A43" s="7"/>
      <c r="B43" s="110" t="s">
        <v>353</v>
      </c>
      <c r="C43" s="110" t="str">
        <f t="shared" ref="C43:H43" si="0">C16&amp;"-"&amp;D16</f>
        <v>12-24</v>
      </c>
      <c r="D43" s="110" t="str">
        <f t="shared" si="0"/>
        <v>24-36</v>
      </c>
      <c r="E43" s="110" t="str">
        <f t="shared" si="0"/>
        <v>36-48</v>
      </c>
      <c r="F43" s="110" t="str">
        <f t="shared" si="0"/>
        <v>48-60</v>
      </c>
      <c r="G43" s="110" t="str">
        <f t="shared" si="0"/>
        <v>60-72</v>
      </c>
      <c r="H43" s="110" t="str">
        <f t="shared" si="0"/>
        <v>72-84</v>
      </c>
      <c r="I43" s="94"/>
      <c r="J43" s="94"/>
      <c r="L43" s="7"/>
      <c r="M43" s="7"/>
      <c r="N43" s="8"/>
    </row>
    <row r="44" spans="1:18">
      <c r="A44" s="7"/>
      <c r="B44" s="96">
        <f t="shared" ref="B44:B49" si="1">B17</f>
        <v>2015</v>
      </c>
      <c r="C44" s="158">
        <f t="shared" ref="C44:H44" si="2">D17/C17</f>
        <v>1.9490644490644491</v>
      </c>
      <c r="D44" s="158">
        <f t="shared" si="2"/>
        <v>1.3444740740740742</v>
      </c>
      <c r="E44" s="158">
        <f t="shared" si="2"/>
        <v>1.1948166431593794</v>
      </c>
      <c r="F44" s="158">
        <f t="shared" si="2"/>
        <v>1.095875756234322</v>
      </c>
      <c r="G44" s="158">
        <f t="shared" si="2"/>
        <v>1.050190190864106</v>
      </c>
      <c r="H44" s="158">
        <f t="shared" si="2"/>
        <v>1.0106417078017822</v>
      </c>
      <c r="I44" s="94"/>
      <c r="J44" s="94"/>
      <c r="L44" s="7"/>
      <c r="M44" s="7"/>
      <c r="N44" s="8"/>
    </row>
    <row r="45" spans="1:18">
      <c r="A45" s="7"/>
      <c r="B45" s="96">
        <f t="shared" si="1"/>
        <v>2016</v>
      </c>
      <c r="C45" s="158">
        <f>D18/C18</f>
        <v>1.6912813860835727</v>
      </c>
      <c r="D45" s="158">
        <f>E18/D18</f>
        <v>1.3322559439027062</v>
      </c>
      <c r="E45" s="158">
        <f>F18/E18</f>
        <v>1.2102060117603519</v>
      </c>
      <c r="F45" s="158">
        <f>G18/F18</f>
        <v>1.0590873568686079</v>
      </c>
      <c r="G45" s="158">
        <f>H18/G18</f>
        <v>1.057619505935194</v>
      </c>
      <c r="H45" s="158"/>
      <c r="I45" s="94"/>
      <c r="J45" s="94"/>
      <c r="L45" s="7"/>
      <c r="M45" s="7"/>
      <c r="N45" s="8"/>
    </row>
    <row r="46" spans="1:18">
      <c r="A46" s="7"/>
      <c r="B46" s="96">
        <f t="shared" si="1"/>
        <v>2017</v>
      </c>
      <c r="C46" s="158">
        <f>D19/C19</f>
        <v>1.8277110927152318</v>
      </c>
      <c r="D46" s="158">
        <f>E19/D19</f>
        <v>1.4447715563607542</v>
      </c>
      <c r="E46" s="158">
        <f>F19/E19</f>
        <v>1.2005172616481836</v>
      </c>
      <c r="F46" s="158">
        <f>G19/F19</f>
        <v>1.067045306175741</v>
      </c>
      <c r="G46" s="158"/>
      <c r="H46" s="158"/>
      <c r="I46" s="94"/>
      <c r="J46" s="94"/>
      <c r="L46" s="7"/>
      <c r="M46" s="7"/>
      <c r="N46" s="8"/>
    </row>
    <row r="47" spans="1:18">
      <c r="A47" s="7"/>
      <c r="B47" s="96">
        <f t="shared" si="1"/>
        <v>2018</v>
      </c>
      <c r="C47" s="158">
        <f>D20/C20</f>
        <v>1.7699841432702172</v>
      </c>
      <c r="D47" s="158">
        <f>E20/D20</f>
        <v>1.359454047217538</v>
      </c>
      <c r="E47" s="158">
        <f>F20/E20</f>
        <v>1.2628987866806218</v>
      </c>
      <c r="F47" s="158"/>
      <c r="G47" s="158"/>
      <c r="H47" s="158"/>
      <c r="I47" s="94"/>
      <c r="J47" s="94"/>
      <c r="L47" s="7"/>
      <c r="M47" s="7"/>
      <c r="N47" s="8"/>
    </row>
    <row r="48" spans="1:18">
      <c r="A48" s="7"/>
      <c r="B48" s="96">
        <f t="shared" si="1"/>
        <v>2019</v>
      </c>
      <c r="C48" s="158">
        <f>D21/C21</f>
        <v>1.748525198044834</v>
      </c>
      <c r="D48" s="158">
        <f>E21/D21</f>
        <v>1.2781472913051861</v>
      </c>
      <c r="E48" s="158"/>
      <c r="F48" s="158"/>
      <c r="G48" s="158"/>
      <c r="H48" s="158"/>
      <c r="I48" s="94"/>
      <c r="J48" s="94"/>
      <c r="L48" s="7"/>
      <c r="M48" s="7"/>
      <c r="N48" s="8"/>
    </row>
    <row r="49" spans="1:14">
      <c r="A49" s="7"/>
      <c r="B49" s="110">
        <f t="shared" si="1"/>
        <v>2020</v>
      </c>
      <c r="C49" s="159">
        <f>D22/C22</f>
        <v>1.5282772398954971</v>
      </c>
      <c r="D49" s="159"/>
      <c r="E49" s="159"/>
      <c r="F49" s="159"/>
      <c r="G49" s="159"/>
      <c r="H49" s="159"/>
      <c r="I49" s="94"/>
      <c r="J49" s="94"/>
      <c r="L49" s="7"/>
      <c r="M49" s="7"/>
      <c r="N49" s="8"/>
    </row>
    <row r="50" spans="1:14">
      <c r="A50" s="7"/>
      <c r="B50" s="158" t="s">
        <v>354</v>
      </c>
      <c r="C50" s="158">
        <f>AVERAGE(C44:C49)</f>
        <v>1.7524739181789668</v>
      </c>
      <c r="D50" s="158">
        <f>AVERAGE(D44:D49)</f>
        <v>1.3518205825720515</v>
      </c>
      <c r="E50" s="158">
        <f>AVERAGE(E44:E49)</f>
        <v>1.2171096758121343</v>
      </c>
      <c r="F50" s="158">
        <f>IF(0=COUNT(F44:F49),1,AVERAGE(F44:F49))</f>
        <v>1.0740028064262237</v>
      </c>
      <c r="G50" s="158">
        <f>IF(0=COUNT(G44:G49),1,AVERAGE(G44:G49))</f>
        <v>1.05390484839965</v>
      </c>
      <c r="H50" s="158">
        <f>IF(0=COUNT(H44:H49),1,AVERAGE(H44:H49))</f>
        <v>1.0106417078017822</v>
      </c>
      <c r="I50" s="94"/>
      <c r="J50" s="94"/>
      <c r="L50" s="7"/>
      <c r="M50" s="7"/>
      <c r="N50" s="8"/>
    </row>
    <row r="51" spans="1:14">
      <c r="A51" s="7"/>
      <c r="B51" s="158" t="s">
        <v>355</v>
      </c>
      <c r="C51" s="158">
        <f>SUM(D18:D22)/SUM(C18:C22)</f>
        <v>1.7041278675657354</v>
      </c>
      <c r="D51" s="158">
        <f>SUM(E17:E21)/SUM(D17:D21)</f>
        <v>1.3494098318128755</v>
      </c>
      <c r="E51" s="158"/>
      <c r="F51" s="94"/>
      <c r="G51" s="158"/>
      <c r="H51" s="158"/>
      <c r="I51" s="94"/>
      <c r="J51" s="94"/>
      <c r="L51" s="7"/>
      <c r="M51" s="7"/>
      <c r="N51" s="8"/>
    </row>
    <row r="52" spans="1:14">
      <c r="A52" s="7"/>
      <c r="B52" s="158" t="s">
        <v>356</v>
      </c>
      <c r="C52" s="158">
        <f>SUM(D17:D22)/SUM(C17:C22)</f>
        <v>1.7368965943507015</v>
      </c>
      <c r="D52" s="158"/>
      <c r="E52" s="94"/>
      <c r="F52" s="158"/>
      <c r="G52" s="158"/>
      <c r="H52" s="158"/>
      <c r="I52" s="94"/>
      <c r="J52" s="94"/>
      <c r="L52" s="7"/>
      <c r="M52" s="7"/>
      <c r="N52" s="8"/>
    </row>
    <row r="53" spans="1:14">
      <c r="A53" s="7"/>
      <c r="B53" s="159" t="s">
        <v>357</v>
      </c>
      <c r="C53" s="159">
        <f>AVERAGE(C44:C47)</f>
        <v>1.8095102677833677</v>
      </c>
      <c r="D53" s="159">
        <f>AVERAGE(D46:D48)</f>
        <v>1.3607909649611594</v>
      </c>
      <c r="E53" s="159">
        <f>AVERAGE(E44,E46)</f>
        <v>1.1976669524037815</v>
      </c>
      <c r="F53" s="159"/>
      <c r="G53" s="159"/>
      <c r="H53" s="159"/>
      <c r="I53" s="128" t="s">
        <v>358</v>
      </c>
      <c r="J53" s="94"/>
      <c r="L53" s="7"/>
      <c r="M53" s="7"/>
      <c r="N53" s="8"/>
    </row>
    <row r="54" spans="1:14">
      <c r="A54" s="7"/>
      <c r="B54" s="132" t="s">
        <v>359</v>
      </c>
      <c r="C54" s="160">
        <f>C53</f>
        <v>1.8095102677833677</v>
      </c>
      <c r="D54" s="160">
        <f>D53</f>
        <v>1.3607909649611594</v>
      </c>
      <c r="E54" s="160">
        <f>E50</f>
        <v>1.2171096758121343</v>
      </c>
      <c r="F54" s="160">
        <f>F50</f>
        <v>1.0740028064262237</v>
      </c>
      <c r="G54" s="160">
        <f>G50</f>
        <v>1.05390484839965</v>
      </c>
      <c r="H54" s="160">
        <f>H50</f>
        <v>1.0106417078017822</v>
      </c>
      <c r="I54" s="160">
        <f>H54</f>
        <v>1.0106417078017822</v>
      </c>
      <c r="J54" s="93"/>
      <c r="K54" s="7"/>
      <c r="L54" s="7"/>
      <c r="M54" s="7"/>
      <c r="N54" s="8"/>
    </row>
    <row r="55" spans="1:14">
      <c r="A55" s="7"/>
      <c r="B55" s="93"/>
      <c r="C55" s="93"/>
      <c r="D55" s="93"/>
      <c r="E55" s="93"/>
      <c r="F55" s="93"/>
      <c r="G55" s="93"/>
      <c r="H55" s="93"/>
      <c r="I55" s="93"/>
      <c r="J55" s="93"/>
      <c r="K55" s="7"/>
      <c r="L55" s="7"/>
      <c r="M55" s="7"/>
      <c r="N55" s="8"/>
    </row>
    <row r="56" spans="1:14">
      <c r="A56" s="7"/>
      <c r="B56" s="93" t="s">
        <v>360</v>
      </c>
      <c r="C56" s="93"/>
      <c r="D56" s="93" t="s">
        <v>361</v>
      </c>
      <c r="E56" s="93"/>
      <c r="F56" s="93"/>
      <c r="G56" s="93"/>
      <c r="H56" s="93"/>
      <c r="I56" s="93"/>
      <c r="J56" s="93"/>
      <c r="K56" s="7"/>
      <c r="L56" s="7"/>
      <c r="M56" s="7"/>
      <c r="N56" s="8"/>
    </row>
    <row r="57" spans="1:14">
      <c r="A57" s="7"/>
      <c r="B57" s="93"/>
      <c r="C57" s="93"/>
      <c r="D57" s="93" t="s">
        <v>362</v>
      </c>
      <c r="E57" s="93"/>
      <c r="F57" s="93"/>
      <c r="G57" s="93"/>
      <c r="H57" s="93"/>
      <c r="I57" s="93"/>
      <c r="J57" s="93"/>
      <c r="K57" s="7"/>
      <c r="L57" s="7"/>
      <c r="M57" s="7"/>
      <c r="N57" s="8"/>
    </row>
    <row r="58" spans="1:14">
      <c r="A58" s="7"/>
      <c r="B58" s="93"/>
      <c r="C58" s="93"/>
      <c r="D58" s="93" t="s">
        <v>553</v>
      </c>
      <c r="I58" s="93"/>
      <c r="J58" s="93"/>
      <c r="K58" s="7"/>
      <c r="L58" s="7"/>
      <c r="M58" s="7"/>
      <c r="N58" s="8"/>
    </row>
    <row r="59" spans="1:14">
      <c r="A59" s="7"/>
      <c r="B59" s="93"/>
      <c r="C59" s="93"/>
      <c r="D59" s="93"/>
      <c r="E59" s="93"/>
      <c r="F59" s="93"/>
      <c r="G59" s="93"/>
      <c r="H59" s="93"/>
      <c r="I59" s="93"/>
      <c r="J59" s="93"/>
      <c r="K59" s="7"/>
      <c r="L59" s="7"/>
      <c r="M59" s="7"/>
      <c r="N59" s="8"/>
    </row>
    <row r="60" spans="1:14">
      <c r="A60" s="7"/>
      <c r="B60" s="93"/>
      <c r="C60" s="93"/>
      <c r="D60" s="310" t="s">
        <v>364</v>
      </c>
      <c r="E60" s="310"/>
      <c r="F60" s="132" t="s">
        <v>300</v>
      </c>
      <c r="G60" s="93"/>
      <c r="H60" s="93"/>
      <c r="I60" s="93"/>
      <c r="J60" s="93"/>
      <c r="K60" s="7"/>
      <c r="L60" s="7"/>
      <c r="M60" s="7"/>
      <c r="N60" s="8"/>
    </row>
    <row r="61" spans="1:14">
      <c r="A61" s="7"/>
      <c r="B61" s="127" t="s">
        <v>353</v>
      </c>
      <c r="C61" s="128" t="s">
        <v>124</v>
      </c>
      <c r="D61" s="128" t="s">
        <v>365</v>
      </c>
      <c r="E61" s="128" t="s">
        <v>366</v>
      </c>
      <c r="F61" s="128" t="s">
        <v>301</v>
      </c>
      <c r="G61" s="93"/>
      <c r="H61" s="93"/>
      <c r="I61" s="93"/>
      <c r="J61" s="93"/>
      <c r="K61" s="7"/>
      <c r="L61" s="7"/>
      <c r="M61" s="7"/>
      <c r="N61" s="8"/>
    </row>
    <row r="62" spans="1:14">
      <c r="A62" s="7"/>
      <c r="B62" s="132">
        <f t="shared" ref="B62:B68" si="3">B7</f>
        <v>2015</v>
      </c>
      <c r="C62" s="131">
        <f>I17</f>
        <v>31530</v>
      </c>
      <c r="D62" s="160">
        <f>I54</f>
        <v>1.0106417078017822</v>
      </c>
      <c r="E62" s="165">
        <f>D62</f>
        <v>1.0106417078017822</v>
      </c>
      <c r="F62" s="131">
        <f>E62*C62</f>
        <v>31865.533046990193</v>
      </c>
      <c r="G62" s="93"/>
      <c r="H62" s="93"/>
      <c r="J62" s="93"/>
      <c r="K62" s="7"/>
      <c r="L62" s="7"/>
      <c r="M62" s="7"/>
      <c r="N62" s="8"/>
    </row>
    <row r="63" spans="1:14">
      <c r="A63" s="7"/>
      <c r="B63" s="132">
        <f t="shared" si="3"/>
        <v>2016</v>
      </c>
      <c r="C63" s="131">
        <f>H18</f>
        <v>32966</v>
      </c>
      <c r="D63" s="160">
        <f>H54</f>
        <v>1.0106417078017822</v>
      </c>
      <c r="E63" s="165">
        <f>E62*D63</f>
        <v>1.0213966615485028</v>
      </c>
      <c r="F63" s="131">
        <f t="shared" ref="F63:F68" si="4">E63*C63</f>
        <v>33671.362344607944</v>
      </c>
      <c r="G63" s="93"/>
      <c r="I63" s="93"/>
      <c r="J63" s="93"/>
      <c r="K63" s="7"/>
      <c r="L63" s="7"/>
      <c r="M63" s="7"/>
      <c r="N63" s="8"/>
    </row>
    <row r="64" spans="1:14">
      <c r="A64" s="7"/>
      <c r="B64" s="132">
        <f t="shared" si="3"/>
        <v>2017</v>
      </c>
      <c r="C64" s="131">
        <f>G19</f>
        <v>32690</v>
      </c>
      <c r="D64" s="160">
        <f>G54</f>
        <v>1.05390484839965</v>
      </c>
      <c r="E64" s="165">
        <f t="shared" ref="E64:E68" si="5">E63*D64</f>
        <v>1.0764548937451834</v>
      </c>
      <c r="F64" s="131">
        <f t="shared" si="4"/>
        <v>35189.310476530045</v>
      </c>
      <c r="H64" s="93"/>
      <c r="I64" s="93"/>
      <c r="J64" s="93"/>
      <c r="K64" s="7"/>
      <c r="L64" s="7"/>
      <c r="M64" s="7"/>
      <c r="N64" s="8"/>
    </row>
    <row r="65" spans="1:14">
      <c r="A65" s="7"/>
      <c r="B65" s="132">
        <f t="shared" si="3"/>
        <v>2018</v>
      </c>
      <c r="C65" s="131">
        <f>F20</f>
        <v>32579</v>
      </c>
      <c r="D65" s="160">
        <f>F54</f>
        <v>1.0740028064262237</v>
      </c>
      <c r="E65" s="165">
        <f t="shared" si="5"/>
        <v>1.1561155768735694</v>
      </c>
      <c r="F65" s="131">
        <f t="shared" si="4"/>
        <v>37665.089378964018</v>
      </c>
      <c r="G65" s="93"/>
      <c r="H65" s="93"/>
      <c r="I65" s="93"/>
      <c r="J65" s="93"/>
      <c r="K65" s="7"/>
      <c r="L65" s="7"/>
      <c r="M65" s="7"/>
      <c r="N65" s="8"/>
    </row>
    <row r="66" spans="1:14">
      <c r="A66" s="7"/>
      <c r="B66" s="132">
        <f t="shared" si="3"/>
        <v>2019</v>
      </c>
      <c r="C66" s="131">
        <f>E21</f>
        <v>26519</v>
      </c>
      <c r="D66" s="160">
        <f>E54</f>
        <v>1.2171096758121343</v>
      </c>
      <c r="E66" s="165">
        <f t="shared" si="5"/>
        <v>1.4071194549699486</v>
      </c>
      <c r="F66" s="131">
        <f t="shared" si="4"/>
        <v>37315.400826348065</v>
      </c>
      <c r="G66" s="93"/>
      <c r="H66" s="93"/>
      <c r="I66" s="93"/>
      <c r="J66" s="93"/>
      <c r="K66" s="7"/>
      <c r="L66" s="7"/>
      <c r="M66" s="7"/>
      <c r="N66" s="8"/>
    </row>
    <row r="67" spans="1:14">
      <c r="A67" s="7"/>
      <c r="B67" s="132">
        <f t="shared" si="3"/>
        <v>2020</v>
      </c>
      <c r="C67" s="131">
        <f>D22</f>
        <v>19889</v>
      </c>
      <c r="D67" s="164">
        <f>D54</f>
        <v>1.3607909649611594</v>
      </c>
      <c r="E67" s="165">
        <f t="shared" si="5"/>
        <v>1.914795440944177</v>
      </c>
      <c r="F67" s="131">
        <f t="shared" si="4"/>
        <v>38083.366524938734</v>
      </c>
      <c r="G67" s="93"/>
      <c r="H67" s="93"/>
      <c r="I67" s="93"/>
      <c r="J67" s="93"/>
      <c r="K67" s="7"/>
      <c r="L67" s="7"/>
      <c r="M67" s="7"/>
      <c r="N67" s="8"/>
    </row>
    <row r="68" spans="1:14">
      <c r="A68" s="7"/>
      <c r="B68" s="128">
        <f t="shared" si="3"/>
        <v>2021</v>
      </c>
      <c r="C68" s="166">
        <f>C23</f>
        <v>12410</v>
      </c>
      <c r="D68" s="167">
        <f>C54</f>
        <v>1.8095102677833677</v>
      </c>
      <c r="E68" s="168">
        <f t="shared" si="5"/>
        <v>3.4648420110932694</v>
      </c>
      <c r="F68" s="166">
        <f t="shared" si="4"/>
        <v>42998.68935766747</v>
      </c>
      <c r="G68" s="93"/>
      <c r="H68" s="93"/>
      <c r="I68" s="93"/>
      <c r="J68" s="93"/>
      <c r="K68" s="7"/>
      <c r="L68" s="7"/>
      <c r="M68" s="7"/>
      <c r="N68" s="8"/>
    </row>
    <row r="69" spans="1:14">
      <c r="A69" s="7"/>
      <c r="B69" s="132" t="s">
        <v>97</v>
      </c>
      <c r="C69" s="131">
        <f>SUM(C62:C68)</f>
        <v>188583</v>
      </c>
      <c r="D69" s="93"/>
      <c r="E69" s="93"/>
      <c r="F69" s="131">
        <f>SUM(F62:F68)</f>
        <v>256788.75195604644</v>
      </c>
      <c r="G69" s="93"/>
      <c r="H69" s="93"/>
      <c r="I69" s="93"/>
      <c r="J69" s="93"/>
      <c r="K69" s="7"/>
      <c r="L69" s="7"/>
      <c r="M69" s="7"/>
      <c r="N69" s="8"/>
    </row>
    <row r="71" spans="1:14">
      <c r="A71" s="6" t="s">
        <v>5</v>
      </c>
      <c r="B71" s="9" t="s">
        <v>91</v>
      </c>
      <c r="C71" s="4"/>
      <c r="D71" s="4"/>
      <c r="E71" s="4"/>
      <c r="F71" s="4"/>
      <c r="G71" s="4"/>
      <c r="H71" s="4"/>
      <c r="I71" s="4"/>
      <c r="J71" s="4"/>
      <c r="K71" s="4"/>
      <c r="L71" s="4"/>
    </row>
    <row r="72" spans="1:14">
      <c r="A72" s="3"/>
      <c r="B72" s="3"/>
      <c r="C72" s="3"/>
      <c r="D72" s="3"/>
      <c r="E72" s="3"/>
      <c r="F72" s="3"/>
      <c r="G72" s="4"/>
      <c r="H72" s="4"/>
      <c r="I72" s="4"/>
      <c r="J72" s="4"/>
      <c r="K72" s="4"/>
      <c r="L72" s="4"/>
    </row>
    <row r="73" spans="1:14">
      <c r="A73" s="7"/>
      <c r="B73" s="7"/>
      <c r="C73" s="7"/>
      <c r="D73" s="7"/>
      <c r="E73" s="7"/>
      <c r="F73" s="7"/>
      <c r="G73" s="7"/>
      <c r="H73" s="7"/>
      <c r="I73" s="7"/>
      <c r="J73" s="7"/>
      <c r="K73" s="7"/>
      <c r="L73" s="7"/>
    </row>
    <row r="74" spans="1:14">
      <c r="A74" s="7" t="s">
        <v>1</v>
      </c>
      <c r="B74" s="7"/>
      <c r="C74" s="7"/>
      <c r="D74" s="7"/>
      <c r="E74" s="7"/>
      <c r="F74" s="7"/>
      <c r="G74" s="7"/>
      <c r="H74" s="7"/>
      <c r="I74" s="7"/>
      <c r="J74" s="7"/>
      <c r="K74" s="7"/>
      <c r="L74" s="7"/>
    </row>
    <row r="75" spans="1:14">
      <c r="A75" s="7"/>
      <c r="B75" s="93"/>
      <c r="C75" s="93"/>
      <c r="D75" s="93"/>
      <c r="E75" s="93"/>
      <c r="F75" s="93"/>
      <c r="G75" s="93"/>
      <c r="H75" s="93"/>
      <c r="I75" s="93"/>
      <c r="J75" s="7"/>
      <c r="K75" s="7"/>
      <c r="L75" s="7"/>
    </row>
    <row r="76" spans="1:14">
      <c r="B76" s="93" t="s">
        <v>369</v>
      </c>
      <c r="C76" s="93"/>
      <c r="D76" s="169">
        <f>(1+E34)*(1+E35)-1</f>
        <v>3.6350000000000104E-2</v>
      </c>
      <c r="E76" s="93"/>
      <c r="F76" s="93"/>
      <c r="G76" s="93"/>
      <c r="H76" s="129"/>
      <c r="I76" s="93"/>
      <c r="M76" s="7"/>
    </row>
    <row r="77" spans="1:14">
      <c r="B77" s="93"/>
      <c r="C77" s="93"/>
      <c r="D77" s="93"/>
      <c r="E77" s="93"/>
      <c r="F77" s="93"/>
      <c r="G77" s="93"/>
      <c r="H77" s="129"/>
      <c r="I77" s="93"/>
      <c r="M77" s="7"/>
    </row>
    <row r="78" spans="1:14" ht="46.8">
      <c r="B78" s="127" t="s">
        <v>353</v>
      </c>
      <c r="C78" s="127" t="s">
        <v>16</v>
      </c>
      <c r="D78" s="127" t="s">
        <v>86</v>
      </c>
      <c r="E78" s="127" t="s">
        <v>370</v>
      </c>
      <c r="F78" s="127" t="s">
        <v>367</v>
      </c>
      <c r="G78" s="127" t="s">
        <v>368</v>
      </c>
      <c r="H78" s="129"/>
      <c r="I78" s="93"/>
      <c r="M78" s="7"/>
    </row>
    <row r="79" spans="1:14">
      <c r="B79" s="171">
        <v>2015</v>
      </c>
      <c r="C79" s="172">
        <f t="shared" ref="C79:D85" si="6">C26</f>
        <v>49736108</v>
      </c>
      <c r="D79" s="173">
        <f t="shared" si="6"/>
        <v>1.0722</v>
      </c>
      <c r="E79" s="173">
        <f>E80*(1+$D$76)</f>
        <v>1.2389070104409194</v>
      </c>
      <c r="F79" s="172">
        <f>F62</f>
        <v>31865.533046990193</v>
      </c>
      <c r="G79" s="174">
        <f>1000*F79*E79/(C79*D79)</f>
        <v>0.74030775344953281</v>
      </c>
      <c r="H79" s="129"/>
      <c r="I79" s="93"/>
      <c r="M79" s="7"/>
    </row>
    <row r="80" spans="1:14">
      <c r="B80" s="171">
        <f>B79+1</f>
        <v>2016</v>
      </c>
      <c r="C80" s="172">
        <f t="shared" si="6"/>
        <v>52114124</v>
      </c>
      <c r="D80" s="173">
        <f t="shared" si="6"/>
        <v>1.0681</v>
      </c>
      <c r="E80" s="173">
        <f t="shared" ref="E80:E84" si="7">E81*(1+$D$76)</f>
        <v>1.1954523186577115</v>
      </c>
      <c r="F80" s="172">
        <f t="shared" ref="F80:F85" si="8">F63</f>
        <v>33671.362344607944</v>
      </c>
      <c r="G80" s="174">
        <f t="shared" ref="G80:G85" si="9">1000*F80*E80/(C80*D80)</f>
        <v>0.72314533671908821</v>
      </c>
      <c r="H80" s="129"/>
      <c r="I80" s="93"/>
      <c r="M80" s="7"/>
    </row>
    <row r="81" spans="1:13">
      <c r="B81" s="171">
        <f t="shared" ref="B81:B85" si="10">B80+1</f>
        <v>2017</v>
      </c>
      <c r="C81" s="172">
        <f t="shared" si="6"/>
        <v>55021088</v>
      </c>
      <c r="D81" s="173">
        <f t="shared" si="6"/>
        <v>1.042</v>
      </c>
      <c r="E81" s="173">
        <f t="shared" si="7"/>
        <v>1.1535218011846493</v>
      </c>
      <c r="F81" s="172">
        <f t="shared" si="8"/>
        <v>35189.310476530045</v>
      </c>
      <c r="G81" s="174">
        <f t="shared" si="9"/>
        <v>0.70801045536244689</v>
      </c>
      <c r="H81" s="129"/>
      <c r="I81" s="93"/>
      <c r="M81" s="7"/>
    </row>
    <row r="82" spans="1:13">
      <c r="B82" s="171">
        <f t="shared" si="10"/>
        <v>2018</v>
      </c>
      <c r="C82" s="172">
        <f t="shared" si="6"/>
        <v>56278147</v>
      </c>
      <c r="D82" s="173">
        <f t="shared" si="6"/>
        <v>1.0265</v>
      </c>
      <c r="E82" s="173">
        <f t="shared" si="7"/>
        <v>1.1130619975728753</v>
      </c>
      <c r="F82" s="172">
        <f t="shared" si="8"/>
        <v>37665.089378964018</v>
      </c>
      <c r="G82" s="174">
        <f t="shared" si="9"/>
        <v>0.72570416285534289</v>
      </c>
      <c r="H82" s="129"/>
      <c r="I82" s="93"/>
    </row>
    <row r="83" spans="1:13">
      <c r="B83" s="171">
        <f t="shared" si="10"/>
        <v>2019</v>
      </c>
      <c r="C83" s="172">
        <f t="shared" si="6"/>
        <v>58829789</v>
      </c>
      <c r="D83" s="173">
        <f t="shared" si="6"/>
        <v>1.0182</v>
      </c>
      <c r="E83" s="173">
        <f t="shared" si="7"/>
        <v>1.0740213225000002</v>
      </c>
      <c r="F83" s="172">
        <f t="shared" si="8"/>
        <v>37315.400826348065</v>
      </c>
      <c r="G83" s="174">
        <f>1000*F83*E83/(C83*D83)</f>
        <v>0.66906857304750289</v>
      </c>
      <c r="H83" s="129"/>
      <c r="I83" s="93"/>
    </row>
    <row r="84" spans="1:13">
      <c r="B84" s="171">
        <f t="shared" si="10"/>
        <v>2020</v>
      </c>
      <c r="C84" s="172">
        <f t="shared" si="6"/>
        <v>61195354</v>
      </c>
      <c r="D84" s="173">
        <f t="shared" si="6"/>
        <v>1.0092000000000001</v>
      </c>
      <c r="E84" s="173">
        <f t="shared" si="7"/>
        <v>1.0363500000000001</v>
      </c>
      <c r="F84" s="172">
        <f t="shared" si="8"/>
        <v>38083.366524938734</v>
      </c>
      <c r="G84" s="174">
        <f t="shared" si="9"/>
        <v>0.63906655690997916</v>
      </c>
      <c r="H84" s="129"/>
      <c r="I84" s="93"/>
    </row>
    <row r="85" spans="1:13">
      <c r="B85" s="171">
        <f t="shared" si="10"/>
        <v>2021</v>
      </c>
      <c r="C85" s="172">
        <f t="shared" si="6"/>
        <v>60091505</v>
      </c>
      <c r="D85" s="173">
        <f t="shared" si="6"/>
        <v>1</v>
      </c>
      <c r="E85" s="173">
        <v>1</v>
      </c>
      <c r="F85" s="172">
        <f t="shared" si="8"/>
        <v>42998.68935766747</v>
      </c>
      <c r="G85" s="174">
        <f t="shared" si="9"/>
        <v>0.71555354384396708</v>
      </c>
      <c r="H85" s="129"/>
      <c r="I85" s="93"/>
    </row>
    <row r="87" spans="1:13">
      <c r="A87" s="9"/>
      <c r="B87" s="9"/>
      <c r="C87" s="9"/>
      <c r="D87" s="9"/>
      <c r="E87" s="9"/>
      <c r="F87" s="9"/>
      <c r="G87" s="9"/>
      <c r="H87" s="9"/>
      <c r="I87" s="9"/>
      <c r="J87" s="9"/>
      <c r="K87" s="9"/>
      <c r="L87" s="9"/>
    </row>
    <row r="88" spans="1:13">
      <c r="A88" s="9" t="s">
        <v>92</v>
      </c>
      <c r="B88" s="9"/>
      <c r="C88" s="9"/>
      <c r="D88" s="9"/>
      <c r="E88" s="9"/>
      <c r="F88" s="9"/>
      <c r="G88" s="9"/>
      <c r="H88" s="9"/>
      <c r="I88" s="9"/>
      <c r="J88" s="9"/>
      <c r="K88" s="9"/>
      <c r="L88" s="9"/>
    </row>
    <row r="89" spans="1:13">
      <c r="A89" s="9"/>
      <c r="B89" s="9"/>
      <c r="C89" s="9"/>
      <c r="D89" s="9"/>
      <c r="E89" s="9"/>
      <c r="F89" s="9"/>
      <c r="G89" s="9"/>
      <c r="H89" s="9"/>
      <c r="I89" s="9"/>
      <c r="J89" s="9"/>
      <c r="K89" s="9"/>
      <c r="L89" s="9"/>
    </row>
    <row r="91" spans="1:13">
      <c r="A91" s="6" t="s">
        <v>0</v>
      </c>
      <c r="B91" s="9" t="s">
        <v>93</v>
      </c>
      <c r="C91" s="4"/>
      <c r="D91" s="4"/>
      <c r="E91" s="4"/>
      <c r="F91" s="4"/>
      <c r="G91" s="4"/>
      <c r="H91" s="4"/>
      <c r="I91" s="4"/>
      <c r="J91" s="4"/>
      <c r="K91" s="4"/>
      <c r="L91" s="4"/>
    </row>
    <row r="92" spans="1:13">
      <c r="A92" s="3"/>
      <c r="B92" s="3"/>
      <c r="C92" s="3"/>
      <c r="D92" s="3"/>
      <c r="E92" s="3"/>
      <c r="F92" s="3"/>
      <c r="G92" s="4"/>
      <c r="H92" s="4"/>
      <c r="I92" s="4"/>
      <c r="J92" s="4"/>
      <c r="K92" s="4"/>
      <c r="L92" s="4"/>
    </row>
    <row r="93" spans="1:13">
      <c r="A93" s="7"/>
      <c r="B93" s="7"/>
      <c r="F93" s="7"/>
      <c r="G93" s="7"/>
      <c r="H93" s="7"/>
      <c r="I93" s="7"/>
      <c r="J93" s="7"/>
      <c r="K93" s="7"/>
      <c r="L93" s="7"/>
    </row>
    <row r="94" spans="1:13">
      <c r="A94" s="7" t="s">
        <v>1</v>
      </c>
      <c r="B94" s="7"/>
      <c r="F94" s="7"/>
      <c r="G94" s="7"/>
      <c r="H94" s="7"/>
      <c r="I94" s="7"/>
      <c r="J94" s="7"/>
      <c r="K94" s="7"/>
      <c r="L94" s="7"/>
    </row>
    <row r="95" spans="1:13">
      <c r="A95" s="7"/>
      <c r="C95" s="151"/>
      <c r="D95" s="151" t="s">
        <v>371</v>
      </c>
      <c r="E95" s="151"/>
      <c r="F95" s="7"/>
      <c r="G95" s="7"/>
      <c r="H95" s="7"/>
      <c r="I95" s="7"/>
      <c r="J95" s="7"/>
      <c r="K95" s="7"/>
      <c r="L95" s="7"/>
    </row>
    <row r="96" spans="1:13" ht="31.2">
      <c r="A96" s="7"/>
      <c r="C96" s="127" t="s">
        <v>353</v>
      </c>
      <c r="D96" s="127" t="s">
        <v>124</v>
      </c>
      <c r="E96" s="127" t="s">
        <v>123</v>
      </c>
      <c r="F96" s="7"/>
      <c r="G96" s="7"/>
      <c r="H96" s="7"/>
      <c r="I96" s="7"/>
      <c r="J96" s="7"/>
      <c r="K96" s="7"/>
      <c r="L96" s="7"/>
    </row>
    <row r="97" spans="1:14">
      <c r="A97" s="7"/>
      <c r="C97" s="171">
        <v>2015</v>
      </c>
      <c r="D97" s="176">
        <f t="shared" ref="D97:D103" si="11">G79</f>
        <v>0.74030775344953281</v>
      </c>
      <c r="E97" s="176">
        <f t="shared" ref="E97:E103" si="12">E26</f>
        <v>0.76800000000000002</v>
      </c>
      <c r="F97" s="7"/>
      <c r="G97" s="7"/>
      <c r="H97" s="7"/>
      <c r="I97" s="7"/>
      <c r="J97" s="7"/>
      <c r="K97" s="7"/>
      <c r="L97" s="7"/>
    </row>
    <row r="98" spans="1:14">
      <c r="A98" s="7"/>
      <c r="C98" s="171">
        <f>C97+1</f>
        <v>2016</v>
      </c>
      <c r="D98" s="176">
        <f t="shared" si="11"/>
        <v>0.72314533671908821</v>
      </c>
      <c r="E98" s="176">
        <f t="shared" si="12"/>
        <v>0.749</v>
      </c>
      <c r="F98" s="7"/>
      <c r="G98" s="7"/>
      <c r="H98" s="7"/>
      <c r="I98" s="7"/>
      <c r="J98" s="7"/>
      <c r="K98" s="7"/>
      <c r="L98" s="7"/>
    </row>
    <row r="99" spans="1:14">
      <c r="A99" s="7"/>
      <c r="C99" s="171">
        <f t="shared" ref="C99:C103" si="13">C98+1</f>
        <v>2017</v>
      </c>
      <c r="D99" s="176">
        <f t="shared" si="11"/>
        <v>0.70801045536244689</v>
      </c>
      <c r="E99" s="176">
        <f t="shared" si="12"/>
        <v>0.73799999999999999</v>
      </c>
      <c r="F99" s="7"/>
      <c r="G99" s="7"/>
      <c r="H99" s="7"/>
      <c r="I99" s="7"/>
      <c r="J99" s="7"/>
      <c r="K99" s="7"/>
      <c r="L99" s="7"/>
    </row>
    <row r="100" spans="1:14">
      <c r="A100" s="7"/>
      <c r="C100" s="171">
        <f t="shared" si="13"/>
        <v>2018</v>
      </c>
      <c r="D100" s="176">
        <f t="shared" si="11"/>
        <v>0.72570416285534289</v>
      </c>
      <c r="E100" s="176">
        <f t="shared" si="12"/>
        <v>0.71199999999999997</v>
      </c>
      <c r="F100" s="7"/>
      <c r="G100" s="7"/>
      <c r="H100" s="7"/>
      <c r="I100" s="7"/>
      <c r="J100" s="7"/>
      <c r="K100" s="7"/>
      <c r="L100" s="7"/>
    </row>
    <row r="101" spans="1:14">
      <c r="A101" s="7"/>
      <c r="C101" s="171">
        <f t="shared" si="13"/>
        <v>2019</v>
      </c>
      <c r="D101" s="176">
        <f t="shared" si="11"/>
        <v>0.66906857304750289</v>
      </c>
      <c r="E101" s="176">
        <f t="shared" si="12"/>
        <v>0.77700000000000002</v>
      </c>
      <c r="F101" s="7"/>
      <c r="G101" s="7"/>
      <c r="H101" s="7"/>
      <c r="I101" s="7"/>
      <c r="J101" s="7"/>
      <c r="K101" s="7"/>
      <c r="L101" s="7"/>
    </row>
    <row r="102" spans="1:14">
      <c r="A102" s="7"/>
      <c r="C102" s="171">
        <f t="shared" si="13"/>
        <v>2020</v>
      </c>
      <c r="D102" s="176">
        <f t="shared" si="11"/>
        <v>0.63906655690997916</v>
      </c>
      <c r="E102" s="176">
        <f t="shared" si="12"/>
        <v>0.73499999999999999</v>
      </c>
      <c r="F102" s="7"/>
      <c r="G102" s="7"/>
      <c r="H102" s="7"/>
      <c r="I102" s="7"/>
      <c r="J102" s="7"/>
      <c r="K102" s="7"/>
      <c r="L102" s="7"/>
    </row>
    <row r="103" spans="1:14">
      <c r="A103" s="7"/>
      <c r="C103" s="171">
        <f t="shared" si="13"/>
        <v>2021</v>
      </c>
      <c r="D103" s="176">
        <f t="shared" si="11"/>
        <v>0.71555354384396708</v>
      </c>
      <c r="E103" s="176">
        <f t="shared" si="12"/>
        <v>0.79400000000000004</v>
      </c>
      <c r="F103" s="7"/>
      <c r="G103" s="7"/>
      <c r="H103" s="7"/>
      <c r="I103" s="7"/>
      <c r="J103" s="7"/>
      <c r="K103" s="7"/>
      <c r="L103" s="7"/>
    </row>
    <row r="104" spans="1:14">
      <c r="B104" s="151"/>
      <c r="C104" s="151"/>
      <c r="D104" s="151"/>
    </row>
    <row r="105" spans="1:14">
      <c r="B105" s="177" t="s">
        <v>372</v>
      </c>
      <c r="D105" s="176">
        <f>AVERAGE(D97:D102)</f>
        <v>0.70088380639064873</v>
      </c>
      <c r="E105" s="176">
        <f>AVERAGE(E97:E102)</f>
        <v>0.74650000000000005</v>
      </c>
    </row>
    <row r="106" spans="1:14">
      <c r="B106" s="177" t="s">
        <v>390</v>
      </c>
      <c r="D106" s="176"/>
      <c r="E106" s="176"/>
    </row>
    <row r="107" spans="1:14">
      <c r="B107" s="151"/>
      <c r="C107" s="151"/>
      <c r="D107" s="176">
        <f>AVERAGE(D98:D101)</f>
        <v>0.70648213199609522</v>
      </c>
      <c r="E107" s="178">
        <f>AVERAGE(E97:E100)</f>
        <v>0.74174999999999991</v>
      </c>
      <c r="M107" s="7"/>
      <c r="N107" s="7"/>
    </row>
    <row r="108" spans="1:14">
      <c r="B108" s="151"/>
      <c r="C108" s="151"/>
      <c r="D108" s="176"/>
      <c r="E108" s="178"/>
      <c r="M108" s="7"/>
      <c r="N108" s="7"/>
    </row>
    <row r="109" spans="1:14">
      <c r="B109" s="177" t="s">
        <v>373</v>
      </c>
      <c r="D109" s="151"/>
      <c r="E109" s="176">
        <f>E107</f>
        <v>0.74174999999999991</v>
      </c>
      <c r="M109" s="7"/>
      <c r="N109" s="7"/>
    </row>
    <row r="110" spans="1:14">
      <c r="B110" s="151" t="s">
        <v>374</v>
      </c>
      <c r="C110" s="151" t="s">
        <v>391</v>
      </c>
      <c r="D110" s="151"/>
      <c r="M110" s="7"/>
      <c r="N110" s="7"/>
    </row>
    <row r="112" spans="1:14">
      <c r="A112" s="6" t="s">
        <v>2</v>
      </c>
      <c r="B112" s="9" t="s">
        <v>94</v>
      </c>
      <c r="C112" s="4"/>
      <c r="D112" s="4"/>
      <c r="E112" s="4"/>
      <c r="F112" s="4"/>
      <c r="G112" s="4"/>
      <c r="H112" s="4"/>
      <c r="I112" s="4"/>
      <c r="J112" s="4"/>
      <c r="K112" s="4"/>
      <c r="L112" s="4"/>
    </row>
    <row r="113" spans="1:12">
      <c r="A113" s="3"/>
      <c r="B113" s="3"/>
      <c r="C113" s="3"/>
      <c r="D113" s="3"/>
      <c r="E113" s="3"/>
      <c r="F113" s="3"/>
      <c r="G113" s="4"/>
      <c r="H113" s="4"/>
      <c r="I113" s="4"/>
      <c r="J113" s="4"/>
      <c r="K113" s="4"/>
      <c r="L113" s="4"/>
    </row>
    <row r="114" spans="1:12">
      <c r="A114" s="7"/>
      <c r="B114" s="7"/>
      <c r="C114" s="7"/>
      <c r="D114" s="7"/>
      <c r="E114" s="7"/>
      <c r="F114" s="7"/>
      <c r="G114" s="7"/>
      <c r="H114" s="7"/>
      <c r="I114" s="7"/>
      <c r="J114" s="7"/>
      <c r="K114" s="7"/>
      <c r="L114" s="7"/>
    </row>
    <row r="115" spans="1:12">
      <c r="A115" s="7" t="s">
        <v>1</v>
      </c>
      <c r="B115" s="7"/>
      <c r="C115" s="7"/>
      <c r="D115" s="7"/>
      <c r="E115" s="7"/>
      <c r="F115" s="7"/>
      <c r="G115" s="7"/>
      <c r="H115" s="7"/>
      <c r="I115" s="7"/>
      <c r="J115" s="7"/>
      <c r="K115" s="7"/>
      <c r="L115" s="7"/>
    </row>
    <row r="116" spans="1:12">
      <c r="A116" s="7"/>
      <c r="B116" s="7" t="s">
        <v>376</v>
      </c>
      <c r="C116" s="7"/>
      <c r="D116" s="7"/>
      <c r="E116" s="180">
        <f>E109</f>
        <v>0.74174999999999991</v>
      </c>
      <c r="F116" s="7"/>
      <c r="G116" s="7"/>
      <c r="H116" s="7"/>
      <c r="I116" s="7"/>
      <c r="J116" s="7"/>
      <c r="K116" s="7"/>
      <c r="L116" s="7"/>
    </row>
    <row r="117" spans="1:12">
      <c r="A117" s="7"/>
      <c r="B117" s="7"/>
      <c r="C117" s="7"/>
      <c r="D117" s="7"/>
      <c r="E117" s="7"/>
      <c r="F117" s="7"/>
      <c r="G117" s="7"/>
      <c r="H117" s="7"/>
      <c r="I117" s="7"/>
      <c r="J117" s="7"/>
      <c r="K117" s="7"/>
      <c r="L117" s="7"/>
    </row>
    <row r="118" spans="1:12" ht="31.2">
      <c r="A118" s="7"/>
      <c r="B118" s="127" t="s">
        <v>353</v>
      </c>
      <c r="C118" s="127" t="s">
        <v>16</v>
      </c>
      <c r="D118" s="127" t="s">
        <v>86</v>
      </c>
      <c r="E118" s="127" t="s">
        <v>370</v>
      </c>
      <c r="F118" s="127" t="s">
        <v>375</v>
      </c>
      <c r="G118" s="127" t="s">
        <v>164</v>
      </c>
      <c r="H118" s="7"/>
      <c r="I118" s="7"/>
      <c r="J118" s="7"/>
      <c r="K118" s="7"/>
      <c r="L118" s="7"/>
    </row>
    <row r="119" spans="1:12">
      <c r="A119" s="7"/>
      <c r="B119" s="171">
        <v>2015</v>
      </c>
      <c r="C119" s="172">
        <f t="shared" ref="C119:D125" si="14">C26</f>
        <v>49736108</v>
      </c>
      <c r="D119" s="173">
        <f t="shared" si="14"/>
        <v>1.0722</v>
      </c>
      <c r="E119" s="173">
        <f t="shared" ref="E119:E125" si="15">E79</f>
        <v>1.2389070104409194</v>
      </c>
      <c r="F119" s="176">
        <f>$E$116*D119/E119</f>
        <v>0.64194030972264493</v>
      </c>
      <c r="G119" s="172">
        <f>F119*C119</f>
        <v>31927612.57391892</v>
      </c>
      <c r="H119" s="7"/>
      <c r="I119" s="7"/>
      <c r="J119" s="7"/>
      <c r="K119" s="7"/>
      <c r="L119" s="7"/>
    </row>
    <row r="120" spans="1:12">
      <c r="A120" s="7"/>
      <c r="B120" s="171">
        <f>B119+1</f>
        <v>2016</v>
      </c>
      <c r="C120" s="172">
        <f t="shared" si="14"/>
        <v>52114124</v>
      </c>
      <c r="D120" s="173">
        <f t="shared" si="14"/>
        <v>1.0681</v>
      </c>
      <c r="E120" s="173">
        <f t="shared" si="15"/>
        <v>1.1954523186577115</v>
      </c>
      <c r="F120" s="176">
        <f t="shared" ref="F120:F125" si="16">$E$116*D120/E120</f>
        <v>0.66273088657318935</v>
      </c>
      <c r="G120" s="172">
        <f t="shared" ref="G120:G125" si="17">F120*C120</f>
        <v>34537639.601505123</v>
      </c>
      <c r="H120" s="7"/>
      <c r="I120" s="7"/>
      <c r="J120" s="7"/>
      <c r="K120" s="7"/>
      <c r="L120" s="7"/>
    </row>
    <row r="121" spans="1:12">
      <c r="A121" s="7"/>
      <c r="B121" s="171">
        <f t="shared" ref="B121:B125" si="18">B120+1</f>
        <v>2017</v>
      </c>
      <c r="C121" s="172">
        <f t="shared" si="14"/>
        <v>55021088</v>
      </c>
      <c r="D121" s="173">
        <f t="shared" si="14"/>
        <v>1.042</v>
      </c>
      <c r="E121" s="173">
        <f t="shared" si="15"/>
        <v>1.1535218011846493</v>
      </c>
      <c r="F121" s="176">
        <f t="shared" si="16"/>
        <v>0.67003805147526463</v>
      </c>
      <c r="G121" s="172">
        <f t="shared" si="17"/>
        <v>36866222.593569063</v>
      </c>
      <c r="H121" s="7"/>
      <c r="I121" s="7"/>
      <c r="J121" s="7"/>
      <c r="K121" s="7"/>
      <c r="L121" s="7"/>
    </row>
    <row r="122" spans="1:12">
      <c r="A122" s="7"/>
      <c r="B122" s="171">
        <f t="shared" si="18"/>
        <v>2018</v>
      </c>
      <c r="C122" s="172">
        <f t="shared" si="14"/>
        <v>56278147</v>
      </c>
      <c r="D122" s="173">
        <f t="shared" si="14"/>
        <v>1.0265</v>
      </c>
      <c r="E122" s="173">
        <f t="shared" si="15"/>
        <v>1.1130619975728753</v>
      </c>
      <c r="F122" s="176">
        <f t="shared" si="16"/>
        <v>0.68406465826729335</v>
      </c>
      <c r="G122" s="172">
        <f t="shared" si="17"/>
        <v>38497891.395471498</v>
      </c>
      <c r="H122" s="7"/>
      <c r="I122" s="7"/>
      <c r="J122" s="7"/>
      <c r="K122" s="7"/>
      <c r="L122" s="7"/>
    </row>
    <row r="123" spans="1:12">
      <c r="A123" s="7"/>
      <c r="B123" s="171">
        <f t="shared" si="18"/>
        <v>2019</v>
      </c>
      <c r="C123" s="172">
        <f t="shared" si="14"/>
        <v>58829789</v>
      </c>
      <c r="D123" s="173">
        <f t="shared" si="14"/>
        <v>1.0182</v>
      </c>
      <c r="E123" s="173">
        <f t="shared" si="15"/>
        <v>1.0740213225000002</v>
      </c>
      <c r="F123" s="176">
        <f t="shared" si="16"/>
        <v>0.70319818999682826</v>
      </c>
      <c r="G123" s="172">
        <f t="shared" si="17"/>
        <v>41369001.142695315</v>
      </c>
      <c r="H123" s="7"/>
      <c r="I123" s="7"/>
      <c r="J123" s="7"/>
      <c r="K123" s="7"/>
      <c r="L123" s="7"/>
    </row>
    <row r="124" spans="1:12">
      <c r="A124" s="7"/>
      <c r="B124" s="171">
        <f t="shared" si="18"/>
        <v>2020</v>
      </c>
      <c r="C124" s="172">
        <f t="shared" si="14"/>
        <v>61195354</v>
      </c>
      <c r="D124" s="173">
        <f t="shared" si="14"/>
        <v>1.0092000000000001</v>
      </c>
      <c r="E124" s="173">
        <f t="shared" si="15"/>
        <v>1.0363500000000001</v>
      </c>
      <c r="F124" s="176">
        <f t="shared" si="16"/>
        <v>0.7223178462874511</v>
      </c>
      <c r="G124" s="172">
        <f t="shared" si="17"/>
        <v>44202496.304078154</v>
      </c>
      <c r="H124" s="7"/>
      <c r="I124" s="7"/>
      <c r="J124" s="7"/>
      <c r="K124" s="7"/>
      <c r="L124" s="7"/>
    </row>
    <row r="125" spans="1:12">
      <c r="B125" s="128">
        <f t="shared" si="18"/>
        <v>2021</v>
      </c>
      <c r="C125" s="166">
        <f t="shared" si="14"/>
        <v>60091505</v>
      </c>
      <c r="D125" s="181">
        <f t="shared" si="14"/>
        <v>1</v>
      </c>
      <c r="E125" s="181">
        <f t="shared" si="15"/>
        <v>1</v>
      </c>
      <c r="F125" s="182">
        <f t="shared" si="16"/>
        <v>0.74174999999999991</v>
      </c>
      <c r="G125" s="166">
        <f t="shared" si="17"/>
        <v>44572873.833749995</v>
      </c>
    </row>
    <row r="126" spans="1:12">
      <c r="B126" s="171" t="s">
        <v>97</v>
      </c>
      <c r="C126" s="179"/>
      <c r="D126" s="179"/>
      <c r="E126" s="179"/>
      <c r="F126" s="179"/>
      <c r="G126" s="172">
        <f>SUM(G119:G125)</f>
        <v>271973737.44498807</v>
      </c>
    </row>
    <row r="128" spans="1:12" ht="15.6" customHeight="1">
      <c r="A128" s="6" t="s">
        <v>3</v>
      </c>
      <c r="B128" s="10" t="s">
        <v>296</v>
      </c>
      <c r="C128" s="10"/>
      <c r="D128" s="10"/>
      <c r="E128" s="10"/>
      <c r="F128" s="10"/>
      <c r="G128" s="10"/>
      <c r="H128" s="10"/>
      <c r="I128" s="10"/>
      <c r="J128" s="10"/>
      <c r="K128" s="10"/>
      <c r="L128" s="4"/>
    </row>
    <row r="129" spans="1:12">
      <c r="A129" s="3"/>
      <c r="B129" s="3"/>
      <c r="C129" s="3"/>
      <c r="D129" s="3"/>
      <c r="E129" s="3"/>
      <c r="F129" s="3"/>
      <c r="G129" s="4"/>
      <c r="H129" s="4"/>
      <c r="I129" s="4"/>
      <c r="J129" s="4"/>
      <c r="K129" s="4"/>
      <c r="L129" s="4"/>
    </row>
    <row r="130" spans="1:12">
      <c r="A130" s="7"/>
      <c r="B130" s="7"/>
      <c r="C130" s="7"/>
      <c r="D130" s="7"/>
      <c r="E130" s="7"/>
      <c r="F130" s="7"/>
      <c r="G130" s="7"/>
      <c r="H130" s="7"/>
      <c r="I130" s="7"/>
      <c r="J130" s="7"/>
      <c r="K130" s="7"/>
      <c r="L130" s="7"/>
    </row>
    <row r="131" spans="1:12">
      <c r="A131" s="7" t="s">
        <v>1</v>
      </c>
      <c r="B131" s="7"/>
      <c r="C131" s="7"/>
      <c r="D131" s="7"/>
      <c r="E131" s="7"/>
      <c r="F131" s="7"/>
      <c r="G131" s="7"/>
      <c r="H131" s="7"/>
      <c r="I131" s="7"/>
      <c r="J131" s="7"/>
      <c r="K131" s="7"/>
      <c r="L131" s="7"/>
    </row>
    <row r="132" spans="1:12" ht="46.8">
      <c r="A132" s="7"/>
      <c r="B132" s="127" t="s">
        <v>353</v>
      </c>
      <c r="C132" s="183" t="s">
        <v>84</v>
      </c>
      <c r="D132" s="183" t="s">
        <v>164</v>
      </c>
      <c r="E132" s="183" t="s">
        <v>377</v>
      </c>
      <c r="F132" s="183" t="s">
        <v>363</v>
      </c>
      <c r="G132" s="7"/>
      <c r="H132" s="7"/>
      <c r="I132" s="7"/>
      <c r="J132" s="7"/>
      <c r="K132" s="7"/>
      <c r="L132" s="7"/>
    </row>
    <row r="133" spans="1:12">
      <c r="A133" s="7"/>
      <c r="B133" s="171">
        <v>2015</v>
      </c>
      <c r="C133" s="131">
        <f t="shared" ref="C133:C139" si="19">C62</f>
        <v>31530</v>
      </c>
      <c r="D133" s="184">
        <f>G119</f>
        <v>31927612.57391892</v>
      </c>
      <c r="E133" s="186">
        <f t="shared" ref="E133:E139" si="20">E62</f>
        <v>1.0106417078017822</v>
      </c>
      <c r="F133" s="131">
        <f>C133*1000+D133*(1-1/E133)</f>
        <v>31866186.722947706</v>
      </c>
      <c r="G133" s="7"/>
      <c r="H133" s="7"/>
      <c r="I133" s="7"/>
      <c r="J133" s="7"/>
      <c r="K133" s="7"/>
      <c r="L133" s="7"/>
    </row>
    <row r="134" spans="1:12">
      <c r="A134" s="7"/>
      <c r="B134" s="171">
        <f>B133+1</f>
        <v>2016</v>
      </c>
      <c r="C134" s="131">
        <f t="shared" si="19"/>
        <v>32966</v>
      </c>
      <c r="D134" s="184">
        <f t="shared" ref="D134:D139" si="21">G120</f>
        <v>34537639.601505123</v>
      </c>
      <c r="E134" s="186">
        <f t="shared" si="20"/>
        <v>1.0213966615485028</v>
      </c>
      <c r="F134" s="131">
        <f t="shared" ref="F134:F139" si="22">C134*1000+D134*(1-1/E134)</f>
        <v>33689509.497394688</v>
      </c>
      <c r="G134" s="7"/>
      <c r="H134" s="7"/>
      <c r="I134" s="7"/>
      <c r="J134" s="7"/>
      <c r="K134" s="7"/>
      <c r="L134" s="7"/>
    </row>
    <row r="135" spans="1:12">
      <c r="A135" s="7"/>
      <c r="B135" s="171">
        <f t="shared" ref="B135:B139" si="23">B134+1</f>
        <v>2017</v>
      </c>
      <c r="C135" s="131">
        <f t="shared" si="19"/>
        <v>32690</v>
      </c>
      <c r="D135" s="184">
        <f t="shared" si="21"/>
        <v>36866222.593569063</v>
      </c>
      <c r="E135" s="186">
        <f t="shared" si="20"/>
        <v>1.0764548937451834</v>
      </c>
      <c r="F135" s="131">
        <f t="shared" si="22"/>
        <v>35308412.668803215</v>
      </c>
      <c r="G135" s="7"/>
      <c r="H135" s="7"/>
      <c r="I135" s="7"/>
      <c r="J135" s="7"/>
      <c r="K135" s="7"/>
      <c r="L135" s="7"/>
    </row>
    <row r="136" spans="1:12">
      <c r="A136" s="7"/>
      <c r="B136" s="171">
        <f t="shared" si="23"/>
        <v>2018</v>
      </c>
      <c r="C136" s="131">
        <f t="shared" si="19"/>
        <v>32579</v>
      </c>
      <c r="D136" s="184">
        <f t="shared" si="21"/>
        <v>38497891.395471498</v>
      </c>
      <c r="E136" s="186">
        <f t="shared" si="20"/>
        <v>1.1561155768735694</v>
      </c>
      <c r="F136" s="131">
        <f t="shared" si="22"/>
        <v>37777546.446258388</v>
      </c>
      <c r="G136" s="7"/>
      <c r="H136" s="7"/>
      <c r="I136" s="7"/>
      <c r="J136" s="7"/>
      <c r="K136" s="7"/>
      <c r="L136" s="7"/>
    </row>
    <row r="137" spans="1:12">
      <c r="A137" s="7"/>
      <c r="B137" s="171">
        <f t="shared" si="23"/>
        <v>2019</v>
      </c>
      <c r="C137" s="131">
        <f t="shared" si="19"/>
        <v>26519</v>
      </c>
      <c r="D137" s="184">
        <f t="shared" si="21"/>
        <v>41369001.142695315</v>
      </c>
      <c r="E137" s="186">
        <f t="shared" si="20"/>
        <v>1.4071194549699486</v>
      </c>
      <c r="F137" s="131">
        <f t="shared" si="22"/>
        <v>38488222.043216646</v>
      </c>
      <c r="G137" s="7"/>
      <c r="H137" s="7"/>
      <c r="I137" s="7"/>
      <c r="J137" s="7"/>
      <c r="K137" s="7"/>
      <c r="L137" s="7"/>
    </row>
    <row r="138" spans="1:12">
      <c r="A138" s="7"/>
      <c r="B138" s="171">
        <f t="shared" si="23"/>
        <v>2020</v>
      </c>
      <c r="C138" s="131">
        <f t="shared" si="19"/>
        <v>19889</v>
      </c>
      <c r="D138" s="184">
        <f t="shared" si="21"/>
        <v>44202496.304078154</v>
      </c>
      <c r="E138" s="186">
        <f t="shared" si="20"/>
        <v>1.914795440944177</v>
      </c>
      <c r="F138" s="131">
        <f t="shared" si="22"/>
        <v>41006786.909594685</v>
      </c>
      <c r="G138" s="7"/>
      <c r="H138" s="7"/>
      <c r="I138" s="7"/>
      <c r="J138" s="7"/>
      <c r="K138" s="7"/>
      <c r="L138" s="7"/>
    </row>
    <row r="139" spans="1:12">
      <c r="A139" s="7"/>
      <c r="B139" s="128">
        <f t="shared" si="23"/>
        <v>2021</v>
      </c>
      <c r="C139" s="166">
        <f t="shared" si="19"/>
        <v>12410</v>
      </c>
      <c r="D139" s="185">
        <f t="shared" si="21"/>
        <v>44572873.833749995</v>
      </c>
      <c r="E139" s="187">
        <f t="shared" si="20"/>
        <v>3.4648420110932694</v>
      </c>
      <c r="F139" s="166">
        <f t="shared" si="22"/>
        <v>44118543.024136595</v>
      </c>
      <c r="G139" s="7"/>
      <c r="H139" s="7"/>
      <c r="I139" s="7"/>
      <c r="J139" s="7"/>
      <c r="K139" s="7"/>
      <c r="L139" s="7"/>
    </row>
    <row r="140" spans="1:12">
      <c r="B140" s="171" t="s">
        <v>97</v>
      </c>
      <c r="C140" s="131">
        <f>SUM(C133:C139)</f>
        <v>188583</v>
      </c>
      <c r="F140" s="131">
        <f>SUM(F133:F139)</f>
        <v>262255207.31235194</v>
      </c>
    </row>
    <row r="142" spans="1:12">
      <c r="A142" s="9"/>
      <c r="B142" s="9"/>
      <c r="C142" s="9"/>
      <c r="D142" s="9"/>
      <c r="E142" s="9"/>
      <c r="F142" s="9"/>
      <c r="G142" s="9"/>
      <c r="H142" s="9"/>
      <c r="I142" s="9"/>
      <c r="J142" s="9"/>
      <c r="K142" s="9"/>
      <c r="L142" s="9"/>
    </row>
    <row r="143" spans="1:12">
      <c r="A143" s="37" t="s">
        <v>95</v>
      </c>
      <c r="B143" s="9"/>
      <c r="C143" s="9"/>
      <c r="D143" s="9"/>
      <c r="E143" s="9"/>
      <c r="F143" s="9"/>
      <c r="G143" s="9"/>
      <c r="H143" s="9"/>
      <c r="I143" s="9"/>
      <c r="J143" s="9"/>
      <c r="K143" s="9"/>
      <c r="L143" s="9"/>
    </row>
    <row r="144" spans="1:12">
      <c r="A144" s="9"/>
      <c r="B144" s="9"/>
      <c r="C144" s="9"/>
      <c r="D144" s="9"/>
      <c r="E144" s="9"/>
      <c r="F144" s="9"/>
      <c r="G144" s="9"/>
      <c r="H144" s="9"/>
      <c r="I144" s="9"/>
      <c r="J144" s="9"/>
      <c r="K144" s="9"/>
      <c r="L144" s="9"/>
    </row>
    <row r="145" spans="1:12" ht="46.8">
      <c r="A145" s="9"/>
      <c r="B145" s="18" t="s">
        <v>34</v>
      </c>
      <c r="C145" s="15" t="s">
        <v>96</v>
      </c>
      <c r="D145" s="9"/>
      <c r="E145" s="9"/>
      <c r="F145" s="9"/>
      <c r="G145" s="9"/>
      <c r="H145" s="9"/>
      <c r="I145" s="9"/>
      <c r="J145" s="9"/>
      <c r="K145" s="9"/>
      <c r="L145" s="9"/>
    </row>
    <row r="146" spans="1:12">
      <c r="A146" s="9"/>
      <c r="B146" s="16">
        <v>2015</v>
      </c>
      <c r="C146" s="17">
        <v>33050822</v>
      </c>
      <c r="D146" s="9"/>
      <c r="E146" s="9"/>
      <c r="F146" s="9"/>
      <c r="G146" s="9"/>
      <c r="H146" s="9"/>
      <c r="I146" s="9"/>
      <c r="J146" s="9"/>
      <c r="K146" s="9"/>
      <c r="L146" s="9"/>
    </row>
    <row r="147" spans="1:12">
      <c r="A147" s="9"/>
      <c r="B147" s="16">
        <v>2016</v>
      </c>
      <c r="C147" s="17">
        <v>34902242</v>
      </c>
      <c r="D147" s="9"/>
      <c r="E147" s="9"/>
      <c r="F147" s="9"/>
      <c r="G147" s="9"/>
      <c r="H147" s="9"/>
      <c r="I147" s="9"/>
      <c r="J147" s="9"/>
      <c r="K147" s="9"/>
      <c r="L147" s="9"/>
    </row>
    <row r="148" spans="1:12">
      <c r="A148" s="9"/>
      <c r="B148" s="16">
        <v>2017</v>
      </c>
      <c r="C148" s="17">
        <v>36660362</v>
      </c>
      <c r="D148" s="9"/>
      <c r="E148" s="9"/>
      <c r="F148" s="9"/>
      <c r="G148" s="9"/>
      <c r="H148" s="9"/>
      <c r="I148" s="9"/>
      <c r="J148" s="9"/>
      <c r="K148" s="9"/>
      <c r="L148" s="9"/>
    </row>
    <row r="149" spans="1:12">
      <c r="A149" s="9"/>
      <c r="B149" s="16">
        <v>2018</v>
      </c>
      <c r="C149" s="17">
        <v>37986078</v>
      </c>
      <c r="D149" s="9"/>
      <c r="E149" s="9"/>
      <c r="F149" s="9"/>
      <c r="G149" s="9"/>
      <c r="H149" s="9"/>
      <c r="I149" s="9"/>
      <c r="J149" s="9"/>
      <c r="K149" s="9"/>
      <c r="L149" s="9"/>
    </row>
    <row r="150" spans="1:12">
      <c r="A150" s="9"/>
      <c r="B150" s="16">
        <v>2019</v>
      </c>
      <c r="C150" s="17">
        <v>41178916</v>
      </c>
      <c r="D150" s="9"/>
      <c r="E150" s="9"/>
      <c r="F150" s="9"/>
      <c r="G150" s="9"/>
      <c r="H150" s="9"/>
      <c r="I150" s="9"/>
      <c r="J150" s="9"/>
      <c r="K150" s="9"/>
      <c r="L150" s="9"/>
    </row>
    <row r="151" spans="1:12">
      <c r="A151" s="9"/>
      <c r="B151" s="16">
        <v>2020</v>
      </c>
      <c r="C151" s="17">
        <v>42698643</v>
      </c>
      <c r="D151" s="9"/>
      <c r="E151" s="9"/>
      <c r="F151" s="9"/>
      <c r="G151" s="9"/>
      <c r="H151" s="9"/>
      <c r="I151" s="9"/>
      <c r="J151" s="9"/>
      <c r="K151" s="9"/>
      <c r="L151" s="9"/>
    </row>
    <row r="152" spans="1:12">
      <c r="A152" s="9"/>
      <c r="B152" s="16">
        <v>2021</v>
      </c>
      <c r="C152" s="17">
        <v>45316988</v>
      </c>
      <c r="D152" s="9"/>
      <c r="E152" s="9"/>
      <c r="F152" s="9"/>
      <c r="G152" s="9"/>
      <c r="H152" s="9"/>
      <c r="I152" s="9"/>
      <c r="J152" s="9"/>
      <c r="K152" s="9"/>
      <c r="L152" s="9"/>
    </row>
    <row r="153" spans="1:12">
      <c r="A153" s="9"/>
      <c r="B153" s="35" t="s">
        <v>97</v>
      </c>
      <c r="C153" s="38">
        <v>271794051</v>
      </c>
      <c r="D153" s="9"/>
      <c r="E153" s="9"/>
      <c r="F153" s="9"/>
      <c r="G153" s="9"/>
      <c r="H153" s="9"/>
      <c r="I153" s="9"/>
      <c r="J153" s="9"/>
      <c r="K153" s="9"/>
      <c r="L153" s="9"/>
    </row>
    <row r="154" spans="1:12">
      <c r="A154" s="9"/>
      <c r="B154" s="9"/>
      <c r="C154" s="9"/>
      <c r="D154" s="9"/>
      <c r="E154" s="9"/>
      <c r="F154" s="9"/>
      <c r="G154" s="9"/>
      <c r="H154" s="9"/>
      <c r="I154" s="9"/>
      <c r="J154" s="9"/>
      <c r="K154" s="9"/>
      <c r="L154" s="9"/>
    </row>
    <row r="156" spans="1:12">
      <c r="A156" s="6" t="s">
        <v>6</v>
      </c>
      <c r="B156" s="9" t="s">
        <v>98</v>
      </c>
      <c r="C156" s="4"/>
      <c r="D156" s="4"/>
      <c r="E156" s="4"/>
      <c r="F156" s="4"/>
      <c r="G156" s="4"/>
      <c r="H156" s="4"/>
      <c r="I156" s="4"/>
      <c r="J156" s="4"/>
      <c r="K156" s="4"/>
      <c r="L156" s="4"/>
    </row>
    <row r="157" spans="1:12">
      <c r="A157" s="3"/>
      <c r="B157" s="3"/>
      <c r="C157" s="3"/>
      <c r="D157" s="3"/>
      <c r="E157" s="3"/>
      <c r="F157" s="3"/>
      <c r="G157" s="4"/>
      <c r="H157" s="4"/>
      <c r="I157" s="4"/>
      <c r="J157" s="4"/>
      <c r="K157" s="4"/>
      <c r="L157" s="4"/>
    </row>
    <row r="158" spans="1:12">
      <c r="A158" s="7"/>
      <c r="B158" s="7"/>
      <c r="C158" s="7"/>
      <c r="D158" s="7"/>
      <c r="E158" s="7"/>
      <c r="F158" s="7"/>
      <c r="G158" s="7"/>
      <c r="H158" s="7"/>
      <c r="I158" s="7"/>
      <c r="J158" s="7"/>
      <c r="K158" s="7"/>
      <c r="L158" s="7"/>
    </row>
    <row r="159" spans="1:12">
      <c r="A159" s="7" t="s">
        <v>1</v>
      </c>
      <c r="F159" s="7"/>
      <c r="G159" s="7"/>
      <c r="H159" s="7"/>
      <c r="I159" s="7"/>
      <c r="J159" s="7"/>
      <c r="K159" s="7"/>
      <c r="L159" s="7"/>
    </row>
    <row r="160" spans="1:12">
      <c r="A160" s="7"/>
      <c r="B160" s="1" t="s">
        <v>378</v>
      </c>
      <c r="D160" s="189">
        <f>(C13+D12+E11+F10+G9+H8+I7)*1000</f>
        <v>238061000</v>
      </c>
      <c r="F160" s="7"/>
      <c r="G160" s="7"/>
      <c r="H160" s="7"/>
      <c r="I160" s="7"/>
      <c r="J160" s="7"/>
      <c r="K160" s="7"/>
      <c r="L160" s="7"/>
    </row>
    <row r="161" spans="1:12">
      <c r="A161" s="7"/>
      <c r="F161" s="7"/>
      <c r="G161" s="7"/>
      <c r="H161" s="7"/>
      <c r="I161" s="7"/>
      <c r="J161" s="7"/>
      <c r="K161" s="7"/>
      <c r="L161" s="7"/>
    </row>
    <row r="162" spans="1:12">
      <c r="A162" s="7"/>
      <c r="B162" s="93" t="s">
        <v>379</v>
      </c>
      <c r="C162" s="93"/>
      <c r="D162" s="188">
        <f>C153-C140*1000</f>
        <v>83211051</v>
      </c>
      <c r="F162" s="93"/>
      <c r="G162" s="93"/>
      <c r="H162" s="7"/>
      <c r="I162" s="7"/>
      <c r="J162" s="7"/>
      <c r="K162" s="7"/>
      <c r="L162" s="7"/>
    </row>
    <row r="163" spans="1:12">
      <c r="A163" s="7"/>
      <c r="B163" s="93" t="s">
        <v>380</v>
      </c>
      <c r="C163" s="93"/>
      <c r="D163" s="188">
        <f>D160-C140*1000</f>
        <v>49478000</v>
      </c>
      <c r="E163"/>
      <c r="F163" s="93"/>
      <c r="G163" s="93"/>
      <c r="H163" s="7"/>
      <c r="I163" s="7"/>
      <c r="J163" s="7"/>
      <c r="K163" s="7"/>
      <c r="L163" s="7"/>
    </row>
    <row r="164" spans="1:12">
      <c r="B164" s="93" t="s">
        <v>381</v>
      </c>
      <c r="C164" s="93"/>
      <c r="D164" s="188">
        <f>D162-D163</f>
        <v>33733051</v>
      </c>
      <c r="E164"/>
      <c r="F164" s="93"/>
      <c r="G164" s="93"/>
    </row>
    <row r="166" spans="1:12">
      <c r="A166" s="9"/>
      <c r="B166" s="9"/>
      <c r="C166" s="9"/>
      <c r="D166" s="9"/>
      <c r="E166" s="9"/>
      <c r="F166" s="9"/>
      <c r="G166" s="9"/>
      <c r="H166" s="9"/>
      <c r="I166" s="9"/>
      <c r="J166" s="9"/>
      <c r="K166" s="9"/>
      <c r="L166" s="9"/>
    </row>
    <row r="167" spans="1:12">
      <c r="A167" s="9" t="s">
        <v>99</v>
      </c>
      <c r="B167" s="9"/>
      <c r="C167" s="9"/>
      <c r="D167" s="9"/>
      <c r="E167" s="9"/>
      <c r="F167" s="9"/>
      <c r="G167" s="9"/>
      <c r="H167" s="9"/>
      <c r="I167" s="9"/>
      <c r="J167" s="9"/>
      <c r="K167" s="9"/>
      <c r="L167" s="9"/>
    </row>
    <row r="168" spans="1:12">
      <c r="A168" s="9"/>
      <c r="B168" s="9"/>
      <c r="C168" s="9"/>
      <c r="D168" s="9"/>
      <c r="E168" s="9"/>
      <c r="F168" s="9"/>
      <c r="G168" s="9"/>
      <c r="H168" s="9"/>
      <c r="I168" s="9"/>
      <c r="J168" s="9"/>
      <c r="K168" s="9"/>
      <c r="L168" s="9"/>
    </row>
    <row r="169" spans="1:12">
      <c r="A169" s="9"/>
      <c r="B169" s="15" t="s">
        <v>34</v>
      </c>
      <c r="C169" s="297" t="s">
        <v>100</v>
      </c>
      <c r="D169" s="297"/>
      <c r="E169" s="9"/>
      <c r="F169" s="9"/>
      <c r="G169" s="9"/>
      <c r="H169" s="9"/>
      <c r="I169" s="9"/>
      <c r="J169" s="9"/>
      <c r="K169" s="9"/>
      <c r="L169" s="9"/>
    </row>
    <row r="170" spans="1:12">
      <c r="A170" s="9"/>
      <c r="B170" s="16">
        <v>2015</v>
      </c>
      <c r="C170" s="309">
        <v>32925000</v>
      </c>
      <c r="D170" s="309"/>
      <c r="E170" s="9"/>
      <c r="F170" s="9"/>
      <c r="G170" s="9"/>
      <c r="H170" s="9"/>
      <c r="I170" s="9"/>
      <c r="J170" s="9"/>
      <c r="K170" s="9"/>
      <c r="L170" s="9"/>
    </row>
    <row r="171" spans="1:12">
      <c r="A171" s="9"/>
      <c r="B171" s="16">
        <v>2016</v>
      </c>
      <c r="C171" s="309">
        <v>34599600</v>
      </c>
      <c r="D171" s="309"/>
      <c r="E171" s="9"/>
      <c r="F171" s="9"/>
      <c r="G171" s="9"/>
      <c r="H171" s="9"/>
      <c r="I171" s="9"/>
      <c r="J171" s="9"/>
      <c r="K171" s="9"/>
      <c r="L171" s="9"/>
    </row>
    <row r="172" spans="1:12">
      <c r="A172" s="9"/>
      <c r="B172" s="16">
        <v>2017</v>
      </c>
      <c r="C172" s="309">
        <v>36055609</v>
      </c>
      <c r="D172" s="309"/>
      <c r="E172" s="9"/>
      <c r="F172" s="9"/>
      <c r="G172" s="9"/>
      <c r="H172" s="9"/>
      <c r="I172" s="9"/>
      <c r="J172" s="9"/>
      <c r="K172" s="9"/>
      <c r="L172" s="9"/>
    </row>
    <row r="173" spans="1:12">
      <c r="A173" s="9"/>
      <c r="B173" s="16">
        <v>2018</v>
      </c>
      <c r="C173" s="309">
        <v>36105780</v>
      </c>
      <c r="D173" s="309"/>
      <c r="E173" s="9"/>
      <c r="F173" s="9"/>
      <c r="G173" s="9"/>
      <c r="H173" s="9"/>
      <c r="I173" s="9"/>
      <c r="J173" s="9"/>
      <c r="K173" s="9"/>
      <c r="L173" s="9"/>
    </row>
    <row r="174" spans="1:12">
      <c r="A174" s="9"/>
      <c r="B174" s="16">
        <v>2019</v>
      </c>
      <c r="C174" s="309">
        <v>35158600</v>
      </c>
      <c r="D174" s="309"/>
      <c r="E174" s="9"/>
      <c r="F174" s="9"/>
      <c r="G174" s="9"/>
      <c r="H174" s="9"/>
      <c r="I174" s="9"/>
      <c r="J174" s="9"/>
      <c r="K174" s="9"/>
      <c r="L174" s="9"/>
    </row>
    <row r="175" spans="1:12">
      <c r="A175" s="9"/>
      <c r="B175" s="16">
        <v>2020</v>
      </c>
      <c r="C175" s="309">
        <v>32342000</v>
      </c>
      <c r="D175" s="309"/>
      <c r="E175" s="9"/>
      <c r="F175" s="9"/>
      <c r="G175" s="9"/>
      <c r="H175" s="9"/>
      <c r="I175" s="9"/>
      <c r="J175" s="9"/>
      <c r="K175" s="9"/>
      <c r="L175" s="9"/>
    </row>
    <row r="176" spans="1:12">
      <c r="A176" s="9"/>
      <c r="B176" s="16">
        <v>2021</v>
      </c>
      <c r="C176" s="309">
        <v>33780455</v>
      </c>
      <c r="D176" s="309"/>
      <c r="E176" s="9"/>
      <c r="F176" s="9"/>
      <c r="G176" s="9"/>
      <c r="H176" s="9"/>
      <c r="I176" s="9"/>
      <c r="J176" s="9"/>
      <c r="K176" s="9"/>
      <c r="L176" s="9"/>
    </row>
    <row r="177" spans="1:12">
      <c r="A177" s="9"/>
      <c r="B177" s="35" t="s">
        <v>97</v>
      </c>
      <c r="C177" s="311">
        <v>240967044</v>
      </c>
      <c r="D177" s="311"/>
      <c r="E177" s="9"/>
      <c r="F177" s="9"/>
      <c r="G177" s="9"/>
      <c r="H177" s="9"/>
      <c r="I177" s="9"/>
      <c r="J177" s="9"/>
      <c r="K177" s="9"/>
      <c r="L177" s="9"/>
    </row>
    <row r="178" spans="1:12">
      <c r="A178" s="9"/>
      <c r="B178" s="9"/>
      <c r="C178" s="9"/>
      <c r="D178" s="9"/>
      <c r="E178" s="9"/>
      <c r="F178" s="9"/>
      <c r="G178" s="9"/>
      <c r="H178" s="9"/>
      <c r="I178" s="9"/>
      <c r="J178" s="9"/>
      <c r="K178" s="9"/>
      <c r="L178" s="9"/>
    </row>
    <row r="180" spans="1:12">
      <c r="A180" s="6" t="s">
        <v>7</v>
      </c>
      <c r="B180" s="293" t="s">
        <v>101</v>
      </c>
      <c r="C180" s="293"/>
      <c r="D180" s="293"/>
      <c r="E180" s="293"/>
      <c r="F180" s="293"/>
      <c r="G180" s="293"/>
      <c r="H180" s="293"/>
      <c r="I180" s="293"/>
      <c r="J180" s="293"/>
      <c r="K180" s="293"/>
      <c r="L180" s="4"/>
    </row>
    <row r="181" spans="1:12">
      <c r="A181" s="6"/>
      <c r="B181" s="293"/>
      <c r="C181" s="293"/>
      <c r="D181" s="293"/>
      <c r="E181" s="293"/>
      <c r="F181" s="293"/>
      <c r="G181" s="293"/>
      <c r="H181" s="293"/>
      <c r="I181" s="293"/>
      <c r="J181" s="293"/>
      <c r="K181" s="293"/>
      <c r="L181" s="4"/>
    </row>
    <row r="182" spans="1:12">
      <c r="A182" s="3"/>
      <c r="B182" s="3"/>
      <c r="C182" s="3"/>
      <c r="D182" s="3"/>
      <c r="E182" s="3"/>
      <c r="F182" s="3"/>
      <c r="G182" s="4"/>
      <c r="H182" s="4"/>
      <c r="I182" s="4"/>
      <c r="J182" s="4"/>
      <c r="K182" s="4"/>
      <c r="L182" s="4"/>
    </row>
    <row r="183" spans="1:12">
      <c r="A183" s="7"/>
      <c r="B183" s="7"/>
      <c r="C183" s="7"/>
      <c r="D183" s="7"/>
      <c r="E183" s="7"/>
      <c r="F183" s="7"/>
      <c r="G183" s="7"/>
      <c r="H183" s="7"/>
      <c r="I183" s="7"/>
      <c r="J183" s="7"/>
      <c r="K183" s="7"/>
      <c r="L183" s="7"/>
    </row>
    <row r="184" spans="1:12">
      <c r="A184" s="7" t="s">
        <v>1</v>
      </c>
      <c r="B184" s="7"/>
      <c r="C184" s="7"/>
      <c r="D184" s="7"/>
      <c r="E184" s="7"/>
      <c r="F184" s="7"/>
      <c r="G184" s="7"/>
      <c r="H184" s="7"/>
      <c r="I184" s="7"/>
      <c r="J184" s="7"/>
      <c r="K184" s="7"/>
      <c r="L184" s="7"/>
    </row>
    <row r="185" spans="1:12">
      <c r="A185" s="7"/>
      <c r="B185" s="7"/>
      <c r="C185" s="7"/>
      <c r="D185" s="7"/>
      <c r="E185" s="7"/>
      <c r="F185" s="7"/>
      <c r="G185" s="7"/>
      <c r="H185" s="7"/>
      <c r="I185" s="7"/>
      <c r="J185" s="7"/>
      <c r="K185" s="7"/>
      <c r="L185" s="7"/>
    </row>
    <row r="186" spans="1:12">
      <c r="A186" s="7"/>
      <c r="B186" s="93"/>
      <c r="C186" s="191" t="str">
        <f>"As of Dec. 31, "&amp;B196</f>
        <v>As of Dec. 31, 2021</v>
      </c>
      <c r="D186" s="190"/>
      <c r="E186" s="93"/>
      <c r="F186" s="93"/>
      <c r="G186" s="93"/>
      <c r="H186" s="93"/>
      <c r="I186" s="93"/>
      <c r="J186" s="93"/>
      <c r="K186" s="93"/>
      <c r="L186" s="93"/>
    </row>
    <row r="187" spans="1:12">
      <c r="B187" s="93"/>
      <c r="C187" s="132" t="s">
        <v>126</v>
      </c>
      <c r="D187" s="132"/>
      <c r="E187" s="132" t="s">
        <v>166</v>
      </c>
      <c r="F187" s="93"/>
      <c r="G187" s="93"/>
      <c r="H187" s="190" t="s">
        <v>382</v>
      </c>
      <c r="I187" s="190"/>
      <c r="J187" s="190"/>
      <c r="K187" s="93"/>
      <c r="L187" s="93"/>
    </row>
    <row r="188" spans="1:12">
      <c r="B188" s="132" t="s">
        <v>31</v>
      </c>
      <c r="C188" s="132" t="s">
        <v>300</v>
      </c>
      <c r="D188" s="132" t="s">
        <v>166</v>
      </c>
      <c r="E188" s="132" t="s">
        <v>383</v>
      </c>
      <c r="F188" s="191" t="s">
        <v>384</v>
      </c>
      <c r="G188" s="190"/>
      <c r="H188" s="191" t="str">
        <f>"from "&amp;F189&amp;" through "&amp;TEXT(E189,"mmm. D, yyyy")</f>
        <v>from Dec. 31, 2021 through Mar. 31, 2022</v>
      </c>
      <c r="I188" s="190"/>
      <c r="J188" s="190"/>
      <c r="K188" s="93"/>
      <c r="L188" s="93"/>
    </row>
    <row r="189" spans="1:12">
      <c r="B189" s="128" t="s">
        <v>32</v>
      </c>
      <c r="C189" s="128" t="s">
        <v>301</v>
      </c>
      <c r="D189" s="128" t="s">
        <v>301</v>
      </c>
      <c r="E189" s="122">
        <v>44651</v>
      </c>
      <c r="F189" s="195" t="s">
        <v>392</v>
      </c>
      <c r="G189" s="122">
        <f>E189</f>
        <v>44651</v>
      </c>
      <c r="H189" s="128" t="s">
        <v>385</v>
      </c>
      <c r="I189" s="128" t="s">
        <v>386</v>
      </c>
      <c r="J189" s="128" t="s">
        <v>387</v>
      </c>
      <c r="K189" s="93"/>
      <c r="L189" s="93"/>
    </row>
    <row r="190" spans="1:12">
      <c r="B190" s="132">
        <f t="shared" ref="B190:B194" si="24">B191-1</f>
        <v>2015</v>
      </c>
      <c r="C190" s="131">
        <f t="shared" ref="C190:C196" si="25">C146</f>
        <v>33050822</v>
      </c>
      <c r="D190" s="131">
        <f>I7*1000</f>
        <v>32886000</v>
      </c>
      <c r="E190" s="131">
        <f t="shared" ref="E190:E196" si="26">C170</f>
        <v>32925000</v>
      </c>
      <c r="F190" s="174">
        <f>D190/C190</f>
        <v>0.99501307410750628</v>
      </c>
      <c r="G190" s="174">
        <f>((12-3)*F190+3*1)/12</f>
        <v>0.99625980558062965</v>
      </c>
      <c r="H190" s="131">
        <f t="shared" ref="H190:H196" si="27">E190-D190</f>
        <v>39000</v>
      </c>
      <c r="I190" s="131">
        <f>(C190-D190)*(G190-F190)/(1-F190)</f>
        <v>41205.499999998166</v>
      </c>
      <c r="J190" s="131">
        <f t="shared" ref="J190:J196" si="28">H190-I190</f>
        <v>-2205.4999999981665</v>
      </c>
      <c r="K190" s="93"/>
      <c r="L190" s="93"/>
    </row>
    <row r="191" spans="1:12">
      <c r="B191" s="132">
        <f t="shared" si="24"/>
        <v>2016</v>
      </c>
      <c r="C191" s="131">
        <f t="shared" si="25"/>
        <v>34902242</v>
      </c>
      <c r="D191" s="131">
        <f>H8*1000</f>
        <v>34555000</v>
      </c>
      <c r="E191" s="131">
        <f t="shared" si="26"/>
        <v>34599600</v>
      </c>
      <c r="F191" s="174">
        <f t="shared" ref="F191:F196" si="29">D191/C191</f>
        <v>0.99005101162269171</v>
      </c>
      <c r="G191" s="174">
        <f t="shared" ref="G191:G196" si="30">((12-3)*F191+3*F190)/12</f>
        <v>0.99129152724389547</v>
      </c>
      <c r="H191" s="131">
        <f t="shared" si="27"/>
        <v>44600</v>
      </c>
      <c r="I191" s="131">
        <f t="shared" ref="I191:I196" si="31">(C191-D191)*(G191-F191)/(1-F191)</f>
        <v>43296.776416033557</v>
      </c>
      <c r="J191" s="131">
        <f t="shared" si="28"/>
        <v>1303.2235839664427</v>
      </c>
      <c r="K191" s="93"/>
      <c r="L191" s="93"/>
    </row>
    <row r="192" spans="1:12">
      <c r="B192" s="132">
        <f t="shared" si="24"/>
        <v>2017</v>
      </c>
      <c r="C192" s="131">
        <f t="shared" si="25"/>
        <v>36660362</v>
      </c>
      <c r="D192" s="131">
        <f>G9*1000</f>
        <v>35972000</v>
      </c>
      <c r="E192" s="131">
        <f t="shared" si="26"/>
        <v>36055609</v>
      </c>
      <c r="F192" s="174">
        <f t="shared" si="29"/>
        <v>0.98122326233439816</v>
      </c>
      <c r="G192" s="174">
        <f t="shared" si="30"/>
        <v>0.98343019965647149</v>
      </c>
      <c r="H192" s="131">
        <f t="shared" si="27"/>
        <v>83609</v>
      </c>
      <c r="I192" s="131">
        <f t="shared" si="31"/>
        <v>80907.121138519142</v>
      </c>
      <c r="J192" s="131">
        <f t="shared" si="28"/>
        <v>2701.8788614808582</v>
      </c>
      <c r="K192" s="93"/>
      <c r="L192" s="93"/>
    </row>
    <row r="193" spans="1:12">
      <c r="B193" s="132">
        <f t="shared" si="24"/>
        <v>2018</v>
      </c>
      <c r="C193" s="131">
        <f t="shared" si="25"/>
        <v>37986078</v>
      </c>
      <c r="D193" s="131">
        <f>F10*1000</f>
        <v>35453000</v>
      </c>
      <c r="E193" s="131">
        <f t="shared" si="26"/>
        <v>36105780</v>
      </c>
      <c r="F193" s="174">
        <f t="shared" si="29"/>
        <v>0.93331562158114878</v>
      </c>
      <c r="G193" s="174">
        <f t="shared" si="30"/>
        <v>0.94529253176946115</v>
      </c>
      <c r="H193" s="131">
        <f t="shared" si="27"/>
        <v>652780</v>
      </c>
      <c r="I193" s="131">
        <f t="shared" si="31"/>
        <v>454955.84461222863</v>
      </c>
      <c r="J193" s="131">
        <f t="shared" si="28"/>
        <v>197824.15538777137</v>
      </c>
      <c r="K193" s="93"/>
      <c r="L193" s="93"/>
    </row>
    <row r="194" spans="1:12">
      <c r="B194" s="132">
        <f t="shared" si="24"/>
        <v>2019</v>
      </c>
      <c r="C194" s="131">
        <f t="shared" si="25"/>
        <v>41178916</v>
      </c>
      <c r="D194" s="131">
        <f>E11*1000</f>
        <v>33927000</v>
      </c>
      <c r="E194" s="131">
        <f t="shared" si="26"/>
        <v>35158600</v>
      </c>
      <c r="F194" s="174">
        <f t="shared" si="29"/>
        <v>0.8238924987729157</v>
      </c>
      <c r="G194" s="174">
        <f t="shared" si="30"/>
        <v>0.85124827947497395</v>
      </c>
      <c r="H194" s="131">
        <f t="shared" si="27"/>
        <v>1231600</v>
      </c>
      <c r="I194" s="131">
        <f t="shared" si="31"/>
        <v>1126481.3956444771</v>
      </c>
      <c r="J194" s="131">
        <f t="shared" si="28"/>
        <v>105118.6043555229</v>
      </c>
      <c r="K194" s="93"/>
      <c r="L194" s="93"/>
    </row>
    <row r="195" spans="1:12">
      <c r="B195" s="132">
        <f>B196-1</f>
        <v>2020</v>
      </c>
      <c r="C195" s="131">
        <f t="shared" si="25"/>
        <v>42698643</v>
      </c>
      <c r="D195" s="131">
        <f>D12*1000</f>
        <v>31041000</v>
      </c>
      <c r="E195" s="131">
        <f t="shared" si="26"/>
        <v>32342000</v>
      </c>
      <c r="F195" s="174">
        <f t="shared" si="29"/>
        <v>0.7269786067908528</v>
      </c>
      <c r="G195" s="174">
        <f t="shared" si="30"/>
        <v>0.75120707978636858</v>
      </c>
      <c r="H195" s="131">
        <f t="shared" si="27"/>
        <v>1301000</v>
      </c>
      <c r="I195" s="131">
        <f t="shared" si="31"/>
        <v>1034522.9188706689</v>
      </c>
      <c r="J195" s="131">
        <f t="shared" si="28"/>
        <v>266477.08112933114</v>
      </c>
      <c r="K195" s="93"/>
      <c r="L195" s="93"/>
    </row>
    <row r="196" spans="1:12">
      <c r="B196" s="128">
        <v>2021</v>
      </c>
      <c r="C196" s="166">
        <f t="shared" si="25"/>
        <v>45316988</v>
      </c>
      <c r="D196" s="166">
        <f>C13*1000</f>
        <v>34227000</v>
      </c>
      <c r="E196" s="166">
        <f t="shared" si="26"/>
        <v>33780455</v>
      </c>
      <c r="F196" s="193">
        <f t="shared" si="29"/>
        <v>0.75527967569247978</v>
      </c>
      <c r="G196" s="193">
        <f t="shared" si="30"/>
        <v>0.74820440846707292</v>
      </c>
      <c r="H196" s="166">
        <f t="shared" si="27"/>
        <v>-446545</v>
      </c>
      <c r="I196" s="166">
        <f t="shared" si="31"/>
        <v>-320629.79995055578</v>
      </c>
      <c r="J196" s="166">
        <f t="shared" si="28"/>
        <v>-125915.20004944422</v>
      </c>
      <c r="K196" s="93"/>
      <c r="L196" s="93"/>
    </row>
    <row r="197" spans="1:12">
      <c r="B197" s="132" t="s">
        <v>97</v>
      </c>
      <c r="C197" s="131">
        <f>SUM(C190:C196)</f>
        <v>271794051</v>
      </c>
      <c r="D197" s="131">
        <f>SUM(D190:D196)</f>
        <v>238061000</v>
      </c>
      <c r="E197" s="131">
        <f>SUM(E190:E196)</f>
        <v>240967044</v>
      </c>
      <c r="F197" s="93"/>
      <c r="G197" s="93"/>
      <c r="H197" s="131">
        <f>SUM(H190:H196)</f>
        <v>2906044</v>
      </c>
      <c r="I197" s="131">
        <f>SUM(I190:I196)</f>
        <v>2460739.7567313695</v>
      </c>
      <c r="J197" s="131">
        <f>SUM(J190:J196)</f>
        <v>445304.24326863035</v>
      </c>
      <c r="K197" s="93"/>
      <c r="L197" s="93"/>
    </row>
    <row r="199" spans="1:12">
      <c r="A199" s="6" t="s">
        <v>297</v>
      </c>
      <c r="B199" s="9" t="s">
        <v>298</v>
      </c>
      <c r="C199" s="4"/>
      <c r="D199" s="4"/>
      <c r="E199" s="4"/>
      <c r="F199" s="4"/>
      <c r="G199" s="4"/>
      <c r="H199" s="4"/>
      <c r="I199" s="4"/>
      <c r="J199" s="4"/>
      <c r="K199" s="4"/>
      <c r="L199" s="4"/>
    </row>
    <row r="200" spans="1:12">
      <c r="A200" s="3"/>
      <c r="B200" s="3"/>
      <c r="C200" s="3"/>
      <c r="D200" s="3"/>
      <c r="E200" s="3"/>
      <c r="F200" s="3"/>
      <c r="G200" s="4"/>
      <c r="H200" s="4"/>
      <c r="I200" s="4"/>
      <c r="J200" s="4"/>
      <c r="K200" s="4"/>
      <c r="L200" s="4"/>
    </row>
    <row r="201" spans="1:12">
      <c r="A201" s="7"/>
      <c r="B201" s="7"/>
      <c r="C201" s="7"/>
      <c r="D201" s="7"/>
      <c r="E201" s="7"/>
      <c r="F201" s="7"/>
      <c r="G201" s="7"/>
      <c r="H201" s="7"/>
      <c r="I201" s="7"/>
      <c r="J201" s="7"/>
      <c r="K201" s="7"/>
      <c r="L201" s="7"/>
    </row>
    <row r="202" spans="1:12">
      <c r="A202" s="7" t="s">
        <v>1</v>
      </c>
      <c r="B202" s="7"/>
      <c r="C202" s="7"/>
      <c r="D202" s="7"/>
      <c r="E202" s="7"/>
      <c r="F202" s="7"/>
      <c r="G202" s="7"/>
      <c r="H202" s="7"/>
      <c r="I202" s="7"/>
      <c r="J202" s="7"/>
      <c r="K202" s="7"/>
      <c r="L202" s="7"/>
    </row>
    <row r="203" spans="1:12">
      <c r="B203" s="1" t="s">
        <v>388</v>
      </c>
    </row>
    <row r="204" spans="1:12">
      <c r="B204" s="1" t="s">
        <v>389</v>
      </c>
    </row>
  </sheetData>
  <mergeCells count="21">
    <mergeCell ref="B180:K181"/>
    <mergeCell ref="C172:D172"/>
    <mergeCell ref="C173:D173"/>
    <mergeCell ref="C174:D174"/>
    <mergeCell ref="C175:D175"/>
    <mergeCell ref="C176:D176"/>
    <mergeCell ref="C177:D177"/>
    <mergeCell ref="C171:D171"/>
    <mergeCell ref="E28:F28"/>
    <mergeCell ref="E29:F29"/>
    <mergeCell ref="E30:F30"/>
    <mergeCell ref="E31:F31"/>
    <mergeCell ref="E32:F32"/>
    <mergeCell ref="C169:D169"/>
    <mergeCell ref="C170:D170"/>
    <mergeCell ref="D60:E60"/>
    <mergeCell ref="E27:F27"/>
    <mergeCell ref="C5:I5"/>
    <mergeCell ref="C15:I15"/>
    <mergeCell ref="E25:F25"/>
    <mergeCell ref="E26:F26"/>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FF5BE-FB55-4015-A7EF-AF1C646C12D6}">
  <dimension ref="A1:L4"/>
  <sheetViews>
    <sheetView zoomScaleNormal="100" workbookViewId="0"/>
  </sheetViews>
  <sheetFormatPr defaultColWidth="8.88671875" defaultRowHeight="15.6"/>
  <cols>
    <col min="1" max="6" width="8.88671875" style="1" customWidth="1"/>
    <col min="7" max="7" width="8.88671875" style="1"/>
    <col min="8" max="8" width="8.88671875" style="1" customWidth="1"/>
    <col min="9" max="16384" width="8.88671875" style="1"/>
  </cols>
  <sheetData>
    <row r="1" spans="1:12" ht="17.399999999999999">
      <c r="A1" s="2" t="s">
        <v>102</v>
      </c>
      <c r="B1" s="4"/>
      <c r="C1" s="9" t="s">
        <v>11</v>
      </c>
      <c r="D1" s="4"/>
      <c r="E1" s="4"/>
      <c r="F1" s="4"/>
      <c r="G1" s="4"/>
      <c r="H1" s="4"/>
      <c r="I1" s="4"/>
      <c r="J1" s="4"/>
      <c r="K1" s="4"/>
      <c r="L1" s="3"/>
    </row>
    <row r="2" spans="1:12">
      <c r="A2" s="4"/>
      <c r="B2" s="4"/>
      <c r="C2" s="4"/>
      <c r="D2" s="4"/>
      <c r="E2" s="4"/>
      <c r="F2" s="4"/>
      <c r="G2" s="4"/>
      <c r="H2" s="4"/>
      <c r="I2" s="4"/>
      <c r="J2" s="4"/>
      <c r="K2" s="4"/>
      <c r="L2" s="3"/>
    </row>
    <row r="3" spans="1:12" ht="16.2">
      <c r="A3" s="14" t="s">
        <v>103</v>
      </c>
      <c r="B3" s="4"/>
      <c r="C3" s="4"/>
      <c r="D3" s="4"/>
      <c r="E3" s="4"/>
      <c r="F3" s="4"/>
      <c r="G3" s="4"/>
      <c r="H3" s="9"/>
      <c r="I3" s="9"/>
      <c r="J3" s="9"/>
      <c r="K3" s="9"/>
      <c r="L3" s="9"/>
    </row>
    <row r="4" spans="1:12">
      <c r="A4" s="4"/>
      <c r="B4" s="4"/>
      <c r="C4" s="4"/>
      <c r="D4" s="4"/>
      <c r="E4" s="4"/>
      <c r="F4" s="4"/>
      <c r="G4" s="4"/>
      <c r="H4" s="9"/>
      <c r="I4" s="9"/>
      <c r="J4" s="9"/>
      <c r="K4" s="9"/>
      <c r="L4" s="9"/>
    </row>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AEF77-9BDD-4CCA-BDA4-9A0E9C80FA98}">
  <dimension ref="A1:R92"/>
  <sheetViews>
    <sheetView zoomScaleNormal="100" workbookViewId="0"/>
  </sheetViews>
  <sheetFormatPr defaultColWidth="8.88671875" defaultRowHeight="15.6"/>
  <cols>
    <col min="1" max="1" width="8.88671875" style="1" customWidth="1"/>
    <col min="2" max="2" width="9.6640625" style="1" customWidth="1"/>
    <col min="3" max="3" width="11.109375" style="1" customWidth="1"/>
    <col min="4" max="7" width="9.6640625" style="1" customWidth="1"/>
    <col min="8" max="8" width="14.21875" style="1" customWidth="1"/>
    <col min="9" max="12" width="9.6640625" style="1" customWidth="1"/>
    <col min="13" max="16384" width="8.88671875" style="1"/>
  </cols>
  <sheetData>
    <row r="1" spans="1:12" ht="17.399999999999999">
      <c r="A1" s="2" t="s">
        <v>104</v>
      </c>
      <c r="B1" s="4"/>
      <c r="C1" s="9" t="s">
        <v>11</v>
      </c>
      <c r="D1" s="4"/>
      <c r="E1" s="4"/>
      <c r="F1" s="4"/>
      <c r="G1" s="4"/>
      <c r="H1" s="4"/>
      <c r="I1" s="4"/>
      <c r="J1" s="4"/>
      <c r="K1" s="4"/>
      <c r="L1" s="3"/>
    </row>
    <row r="2" spans="1:12">
      <c r="A2" s="4"/>
      <c r="B2" s="4"/>
      <c r="C2" s="4"/>
      <c r="D2" s="4"/>
      <c r="E2" s="4"/>
      <c r="F2" s="4"/>
      <c r="G2" s="4"/>
      <c r="H2" s="4"/>
      <c r="I2" s="4"/>
      <c r="J2" s="4"/>
      <c r="K2" s="4"/>
      <c r="L2" s="3"/>
    </row>
    <row r="3" spans="1:12">
      <c r="A3" s="293" t="s">
        <v>105</v>
      </c>
      <c r="B3" s="293"/>
      <c r="C3" s="293"/>
      <c r="D3" s="293"/>
      <c r="E3" s="293"/>
      <c r="F3" s="293"/>
      <c r="G3" s="293"/>
      <c r="H3" s="293"/>
      <c r="I3" s="293"/>
      <c r="J3" s="293"/>
      <c r="K3" s="293"/>
      <c r="L3" s="3"/>
    </row>
    <row r="4" spans="1:12" s="11" customFormat="1">
      <c r="A4" s="293"/>
      <c r="B4" s="293"/>
      <c r="C4" s="293"/>
      <c r="D4" s="293"/>
      <c r="E4" s="293"/>
      <c r="F4" s="293"/>
      <c r="G4" s="293"/>
      <c r="H4" s="293"/>
      <c r="I4" s="293"/>
      <c r="J4" s="293"/>
      <c r="K4" s="293"/>
      <c r="L4" s="10"/>
    </row>
    <row r="5" spans="1:12" s="11" customFormat="1">
      <c r="A5" s="13"/>
      <c r="B5" s="9" t="s">
        <v>106</v>
      </c>
      <c r="C5" s="12"/>
      <c r="D5" s="12"/>
      <c r="E5" s="12"/>
      <c r="F5" s="12"/>
      <c r="G5" s="12"/>
      <c r="H5" s="10"/>
      <c r="I5" s="10"/>
      <c r="J5" s="10"/>
      <c r="K5" s="10"/>
      <c r="L5" s="10"/>
    </row>
    <row r="6" spans="1:12" s="11" customFormat="1">
      <c r="A6" s="13"/>
      <c r="B6" s="12"/>
      <c r="C6" s="12"/>
      <c r="D6" s="12"/>
      <c r="E6" s="12"/>
      <c r="F6" s="12"/>
      <c r="G6" s="12"/>
      <c r="H6" s="10"/>
      <c r="I6" s="10"/>
      <c r="J6" s="10"/>
      <c r="K6" s="10"/>
      <c r="L6" s="10"/>
    </row>
    <row r="7" spans="1:12" s="11" customFormat="1">
      <c r="A7" s="9" t="s">
        <v>107</v>
      </c>
      <c r="B7" s="12"/>
      <c r="C7" s="12"/>
      <c r="D7" s="12"/>
      <c r="E7" s="12"/>
      <c r="F7" s="12"/>
      <c r="G7" s="12"/>
      <c r="H7" s="10"/>
      <c r="I7" s="10"/>
      <c r="J7" s="10"/>
      <c r="K7" s="10"/>
      <c r="L7" s="10"/>
    </row>
    <row r="8" spans="1:12" s="11" customFormat="1">
      <c r="A8" s="13"/>
      <c r="B8" s="12"/>
      <c r="C8" s="12"/>
      <c r="D8" s="12"/>
      <c r="E8" s="12"/>
      <c r="F8" s="12"/>
      <c r="G8" s="12"/>
      <c r="H8" s="10"/>
      <c r="I8" s="10"/>
      <c r="J8" s="10"/>
      <c r="K8" s="10"/>
      <c r="L8" s="10"/>
    </row>
    <row r="9" spans="1:12" s="11" customFormat="1">
      <c r="A9" s="12"/>
      <c r="B9" s="297" t="s">
        <v>108</v>
      </c>
      <c r="C9" s="297"/>
      <c r="D9" s="297"/>
      <c r="E9" s="297"/>
      <c r="F9" s="12"/>
      <c r="G9" s="12"/>
      <c r="H9" s="10"/>
      <c r="I9" s="10"/>
      <c r="J9" s="10"/>
      <c r="K9" s="10"/>
      <c r="L9" s="10"/>
    </row>
    <row r="10" spans="1:12" s="11" customFormat="1">
      <c r="A10" s="12"/>
      <c r="B10" s="297" t="s">
        <v>109</v>
      </c>
      <c r="C10" s="297" t="s">
        <v>110</v>
      </c>
      <c r="D10" s="297"/>
      <c r="E10" s="297"/>
      <c r="F10" s="12"/>
      <c r="G10" s="12"/>
      <c r="H10" s="10"/>
      <c r="I10" s="10"/>
      <c r="J10" s="10"/>
      <c r="K10" s="10"/>
      <c r="L10" s="10"/>
    </row>
    <row r="11" spans="1:12" s="11" customFormat="1">
      <c r="A11" s="13"/>
      <c r="B11" s="297"/>
      <c r="C11" s="15">
        <v>1</v>
      </c>
      <c r="D11" s="15">
        <v>2</v>
      </c>
      <c r="E11" s="15">
        <v>3</v>
      </c>
      <c r="F11" s="12"/>
      <c r="G11" s="12"/>
      <c r="H11" s="10"/>
      <c r="I11" s="10"/>
      <c r="J11" s="10"/>
      <c r="K11" s="10"/>
      <c r="L11" s="10"/>
    </row>
    <row r="12" spans="1:12" s="11" customFormat="1">
      <c r="A12" s="12"/>
      <c r="B12" s="21" t="s">
        <v>111</v>
      </c>
      <c r="C12" s="22">
        <v>2700</v>
      </c>
      <c r="D12" s="22">
        <v>2700</v>
      </c>
      <c r="E12" s="22">
        <v>2025</v>
      </c>
      <c r="F12" s="12"/>
      <c r="G12" s="12"/>
      <c r="H12" s="10"/>
      <c r="I12" s="10"/>
      <c r="J12" s="10"/>
      <c r="K12" s="10"/>
      <c r="L12" s="10"/>
    </row>
    <row r="13" spans="1:12" s="11" customFormat="1">
      <c r="A13" s="12"/>
      <c r="B13" s="21" t="s">
        <v>112</v>
      </c>
      <c r="C13" s="22">
        <v>1350</v>
      </c>
      <c r="D13" s="22">
        <v>2025</v>
      </c>
      <c r="E13" s="22">
        <v>2700</v>
      </c>
      <c r="F13" s="12"/>
      <c r="G13" s="12"/>
      <c r="H13" s="10"/>
      <c r="I13" s="10"/>
      <c r="J13" s="10"/>
      <c r="K13" s="10"/>
      <c r="L13" s="10"/>
    </row>
    <row r="14" spans="1:12">
      <c r="A14" s="12"/>
      <c r="B14" s="21" t="s">
        <v>113</v>
      </c>
      <c r="C14" s="22">
        <v>1350</v>
      </c>
      <c r="D14" s="21">
        <v>675</v>
      </c>
      <c r="E14" s="22">
        <v>4050</v>
      </c>
      <c r="F14" s="12"/>
      <c r="G14" s="12"/>
      <c r="H14" s="9"/>
      <c r="I14" s="9"/>
      <c r="J14" s="9"/>
      <c r="K14" s="9"/>
      <c r="L14" s="9"/>
    </row>
    <row r="15" spans="1:12">
      <c r="A15" s="9"/>
      <c r="B15" s="9"/>
      <c r="C15" s="9"/>
      <c r="D15" s="9"/>
      <c r="E15" s="9"/>
      <c r="F15" s="9"/>
      <c r="G15" s="9"/>
      <c r="H15" s="9"/>
      <c r="I15" s="9"/>
      <c r="J15" s="9"/>
      <c r="K15" s="9"/>
      <c r="L15" s="9"/>
    </row>
    <row r="17" spans="1:18">
      <c r="A17" s="6" t="s">
        <v>4</v>
      </c>
      <c r="B17" s="9" t="s">
        <v>114</v>
      </c>
      <c r="C17" s="4"/>
      <c r="D17" s="4"/>
      <c r="E17" s="4"/>
      <c r="F17" s="4"/>
      <c r="G17" s="4"/>
      <c r="H17" s="4"/>
      <c r="I17" s="4"/>
      <c r="J17" s="4"/>
      <c r="K17" s="4"/>
      <c r="L17" s="4"/>
      <c r="M17" s="8"/>
      <c r="N17" s="8"/>
      <c r="O17" s="8"/>
      <c r="P17" s="8"/>
      <c r="Q17" s="8"/>
      <c r="R17" s="8"/>
    </row>
    <row r="18" spans="1:18">
      <c r="A18" s="3"/>
      <c r="B18" s="3"/>
      <c r="C18" s="3"/>
      <c r="D18" s="3"/>
      <c r="E18" s="3"/>
      <c r="F18" s="3"/>
      <c r="G18" s="4"/>
      <c r="H18" s="4"/>
      <c r="I18" s="4"/>
      <c r="J18" s="4"/>
      <c r="K18" s="4"/>
      <c r="L18" s="4"/>
    </row>
    <row r="19" spans="1:18">
      <c r="A19" s="7"/>
      <c r="B19" s="7"/>
      <c r="C19" s="7"/>
      <c r="D19" s="7"/>
      <c r="E19" s="7"/>
      <c r="F19" s="7"/>
      <c r="G19" s="7"/>
      <c r="H19" s="7"/>
      <c r="I19" s="7"/>
      <c r="J19" s="7"/>
      <c r="K19" s="7"/>
      <c r="L19" s="7"/>
      <c r="M19" s="7"/>
    </row>
    <row r="20" spans="1:18">
      <c r="A20" s="7" t="s">
        <v>1</v>
      </c>
      <c r="B20" s="7"/>
      <c r="C20" s="7"/>
      <c r="D20" s="7"/>
      <c r="E20" s="7"/>
      <c r="F20" s="7"/>
      <c r="G20" s="7"/>
      <c r="H20" s="7"/>
      <c r="I20" s="7"/>
      <c r="J20" s="7"/>
      <c r="K20" s="7"/>
      <c r="L20" s="7"/>
      <c r="M20" s="7"/>
      <c r="N20" s="8"/>
    </row>
    <row r="21" spans="1:18">
      <c r="A21" s="7"/>
      <c r="C21" s="197"/>
      <c r="D21" s="197"/>
      <c r="E21" s="93"/>
      <c r="F21" s="93"/>
      <c r="G21" s="93"/>
      <c r="H21" s="7"/>
      <c r="I21" s="7"/>
      <c r="J21" s="7"/>
      <c r="K21" s="7"/>
      <c r="L21" s="7"/>
      <c r="M21" s="7"/>
      <c r="N21" s="8"/>
    </row>
    <row r="22" spans="1:18">
      <c r="A22" s="7"/>
      <c r="B22" s="312" t="s">
        <v>108</v>
      </c>
      <c r="C22" s="312"/>
      <c r="D22" s="312"/>
      <c r="E22" s="312"/>
      <c r="F22" s="313" t="s">
        <v>393</v>
      </c>
      <c r="G22" s="314"/>
      <c r="H22" s="315"/>
      <c r="I22" s="7"/>
      <c r="J22" s="7"/>
      <c r="K22" s="7"/>
      <c r="L22" s="7"/>
      <c r="M22" s="7"/>
      <c r="N22" s="8"/>
    </row>
    <row r="23" spans="1:18">
      <c r="A23" s="7"/>
      <c r="B23" s="312" t="s">
        <v>109</v>
      </c>
      <c r="C23" s="312" t="s">
        <v>110</v>
      </c>
      <c r="D23" s="312"/>
      <c r="E23" s="312"/>
      <c r="F23" s="312" t="s">
        <v>110</v>
      </c>
      <c r="G23" s="312"/>
      <c r="H23" s="312"/>
      <c r="I23" s="7"/>
      <c r="J23" s="7"/>
      <c r="K23" s="7"/>
      <c r="L23" s="7"/>
      <c r="M23" s="7"/>
      <c r="N23" s="8"/>
    </row>
    <row r="24" spans="1:18">
      <c r="A24" s="7"/>
      <c r="B24" s="312"/>
      <c r="C24" s="83">
        <v>1</v>
      </c>
      <c r="D24" s="83">
        <v>2</v>
      </c>
      <c r="E24" s="83">
        <v>3</v>
      </c>
      <c r="F24" s="83">
        <v>1</v>
      </c>
      <c r="G24" s="83">
        <v>2</v>
      </c>
      <c r="H24" s="83">
        <v>3</v>
      </c>
      <c r="I24" s="7"/>
      <c r="J24" s="7"/>
      <c r="K24" s="7"/>
      <c r="L24" s="7"/>
      <c r="M24" s="7"/>
      <c r="N24" s="8"/>
    </row>
    <row r="25" spans="1:18">
      <c r="A25" s="7"/>
      <c r="B25" s="83" t="s">
        <v>111</v>
      </c>
      <c r="C25" s="82">
        <f>C12</f>
        <v>2700</v>
      </c>
      <c r="D25" s="82">
        <f t="shared" ref="D25:E25" si="0">D12</f>
        <v>2700</v>
      </c>
      <c r="E25" s="82">
        <f t="shared" si="0"/>
        <v>2025</v>
      </c>
      <c r="F25" s="200">
        <f>C25/$C25</f>
        <v>1</v>
      </c>
      <c r="G25" s="200">
        <f t="shared" ref="G25:G27" si="1">D25/$C25</f>
        <v>1</v>
      </c>
      <c r="H25" s="200">
        <f t="shared" ref="H25:H27" si="2">E25/$C25</f>
        <v>0.75</v>
      </c>
      <c r="I25" s="7"/>
      <c r="J25" s="7"/>
      <c r="K25" s="7"/>
      <c r="L25" s="7"/>
      <c r="M25" s="7"/>
      <c r="N25" s="8"/>
    </row>
    <row r="26" spans="1:18">
      <c r="A26" s="7"/>
      <c r="B26" s="83" t="s">
        <v>112</v>
      </c>
      <c r="C26" s="82">
        <f t="shared" ref="C26:E26" si="3">C13</f>
        <v>1350</v>
      </c>
      <c r="D26" s="82">
        <f t="shared" si="3"/>
        <v>2025</v>
      </c>
      <c r="E26" s="82">
        <f t="shared" si="3"/>
        <v>2700</v>
      </c>
      <c r="F26" s="200">
        <f t="shared" ref="F26:F27" si="4">C26/$C26</f>
        <v>1</v>
      </c>
      <c r="G26" s="200">
        <f t="shared" si="1"/>
        <v>1.5</v>
      </c>
      <c r="H26" s="200">
        <f t="shared" si="2"/>
        <v>2</v>
      </c>
      <c r="I26" s="7"/>
      <c r="J26" s="7"/>
      <c r="K26" s="7"/>
      <c r="L26" s="7"/>
      <c r="M26" s="7"/>
      <c r="N26" s="8"/>
    </row>
    <row r="27" spans="1:18">
      <c r="A27" s="7"/>
      <c r="B27" s="83" t="s">
        <v>113</v>
      </c>
      <c r="C27" s="82">
        <f t="shared" ref="C27:E27" si="5">C14</f>
        <v>1350</v>
      </c>
      <c r="D27" s="83">
        <f t="shared" si="5"/>
        <v>675</v>
      </c>
      <c r="E27" s="82">
        <f t="shared" si="5"/>
        <v>4050</v>
      </c>
      <c r="F27" s="200">
        <f t="shared" si="4"/>
        <v>1</v>
      </c>
      <c r="G27" s="200">
        <f t="shared" si="1"/>
        <v>0.5</v>
      </c>
      <c r="H27" s="200">
        <f t="shared" si="2"/>
        <v>3</v>
      </c>
      <c r="I27" s="7"/>
      <c r="J27" s="7"/>
      <c r="K27" s="7"/>
      <c r="L27" s="7"/>
      <c r="M27" s="7"/>
      <c r="N27" s="8"/>
    </row>
    <row r="28" spans="1:18">
      <c r="A28" s="7"/>
      <c r="B28" s="196"/>
      <c r="C28" s="197"/>
      <c r="D28" s="197"/>
      <c r="E28" s="93"/>
      <c r="F28" s="93"/>
      <c r="G28" s="93"/>
      <c r="H28" s="7"/>
      <c r="I28" s="7"/>
      <c r="J28" s="7"/>
      <c r="K28" s="7"/>
      <c r="L28" s="7"/>
      <c r="M28" s="7"/>
      <c r="N28" s="8"/>
    </row>
    <row r="29" spans="1:18">
      <c r="A29" s="7"/>
      <c r="B29" s="197" t="s">
        <v>394</v>
      </c>
      <c r="C29" s="7"/>
      <c r="D29" s="7"/>
      <c r="E29" s="7"/>
      <c r="F29" s="7"/>
      <c r="G29" s="7"/>
      <c r="H29" s="7"/>
      <c r="I29" s="7"/>
      <c r="J29" s="7"/>
      <c r="K29" s="7"/>
      <c r="L29" s="7"/>
      <c r="M29" s="7"/>
      <c r="N29" s="8"/>
    </row>
    <row r="30" spans="1:18" s="207" customFormat="1">
      <c r="M30" s="206"/>
      <c r="N30" s="206"/>
    </row>
    <row r="31" spans="1:18">
      <c r="A31" s="9"/>
      <c r="B31" s="9"/>
      <c r="C31" s="9"/>
      <c r="D31" s="9"/>
      <c r="E31" s="9"/>
      <c r="F31" s="9"/>
      <c r="G31" s="9"/>
      <c r="H31" s="9"/>
      <c r="I31" s="9"/>
      <c r="J31" s="9"/>
      <c r="K31" s="9"/>
      <c r="L31" s="9"/>
      <c r="M31" s="8"/>
      <c r="N31" s="8"/>
    </row>
    <row r="32" spans="1:18">
      <c r="A32" s="9" t="s">
        <v>115</v>
      </c>
      <c r="B32" s="9"/>
      <c r="C32" s="9"/>
      <c r="D32" s="9"/>
      <c r="E32" s="9"/>
      <c r="F32" s="9"/>
      <c r="G32" s="9"/>
      <c r="H32" s="9"/>
      <c r="I32" s="9"/>
      <c r="J32" s="9"/>
      <c r="K32" s="9"/>
      <c r="L32" s="9"/>
      <c r="M32" s="8"/>
      <c r="N32" s="8"/>
    </row>
    <row r="33" spans="1:14">
      <c r="A33" s="9"/>
      <c r="B33" s="9"/>
      <c r="C33" s="9"/>
      <c r="D33" s="9"/>
      <c r="E33" s="9"/>
      <c r="F33" s="9"/>
      <c r="G33" s="9"/>
      <c r="H33" s="9"/>
      <c r="I33" s="9"/>
      <c r="J33" s="9"/>
      <c r="K33" s="9"/>
      <c r="L33" s="9"/>
      <c r="M33" s="8"/>
      <c r="N33" s="8"/>
    </row>
    <row r="34" spans="1:14">
      <c r="A34" s="9"/>
      <c r="B34" s="297" t="s">
        <v>116</v>
      </c>
      <c r="C34" s="297"/>
      <c r="D34" s="297"/>
      <c r="E34" s="297"/>
      <c r="F34" s="297"/>
      <c r="G34" s="9"/>
      <c r="H34" s="9"/>
      <c r="I34" s="9"/>
      <c r="J34" s="9"/>
      <c r="K34" s="9"/>
      <c r="L34" s="9"/>
      <c r="M34" s="8"/>
      <c r="N34" s="8"/>
    </row>
    <row r="35" spans="1:14">
      <c r="A35" s="9"/>
      <c r="B35" s="297" t="s">
        <v>109</v>
      </c>
      <c r="C35" s="297" t="s">
        <v>110</v>
      </c>
      <c r="D35" s="297"/>
      <c r="E35" s="297"/>
      <c r="F35" s="41"/>
      <c r="G35" s="9"/>
      <c r="H35" s="9"/>
      <c r="I35" s="9"/>
      <c r="J35" s="9"/>
      <c r="K35" s="9"/>
      <c r="L35" s="9"/>
      <c r="M35" s="8"/>
      <c r="N35" s="8"/>
    </row>
    <row r="36" spans="1:14">
      <c r="A36" s="9"/>
      <c r="B36" s="297"/>
      <c r="C36" s="15">
        <v>1</v>
      </c>
      <c r="D36" s="15">
        <v>2</v>
      </c>
      <c r="E36" s="15">
        <v>3</v>
      </c>
      <c r="F36" s="35" t="s">
        <v>97</v>
      </c>
      <c r="G36" s="9"/>
      <c r="H36" s="9"/>
      <c r="I36" s="9"/>
      <c r="J36" s="9"/>
      <c r="K36" s="9"/>
      <c r="L36" s="9"/>
      <c r="M36" s="8"/>
      <c r="N36" s="8"/>
    </row>
    <row r="37" spans="1:14">
      <c r="A37" s="9"/>
      <c r="B37" s="21" t="s">
        <v>111</v>
      </c>
      <c r="C37" s="43">
        <v>240</v>
      </c>
      <c r="D37" s="43">
        <v>200</v>
      </c>
      <c r="E37" s="43">
        <v>450</v>
      </c>
      <c r="F37" s="44">
        <v>282.73</v>
      </c>
      <c r="G37" s="9"/>
      <c r="H37" s="9"/>
      <c r="I37" s="9"/>
      <c r="J37" s="9"/>
      <c r="K37" s="9"/>
      <c r="L37" s="9"/>
      <c r="M37" s="8"/>
      <c r="N37" s="8"/>
    </row>
    <row r="38" spans="1:14">
      <c r="A38" s="9"/>
      <c r="B38" s="21" t="s">
        <v>112</v>
      </c>
      <c r="C38" s="43">
        <v>270</v>
      </c>
      <c r="D38" s="43">
        <v>250</v>
      </c>
      <c r="E38" s="43">
        <v>450</v>
      </c>
      <c r="F38" s="44">
        <v>343.33</v>
      </c>
      <c r="G38" s="9"/>
      <c r="H38" s="9"/>
      <c r="I38" s="9"/>
      <c r="J38" s="9"/>
      <c r="K38" s="9"/>
      <c r="L38" s="9"/>
      <c r="M38" s="8"/>
      <c r="N38" s="8"/>
    </row>
    <row r="39" spans="1:14">
      <c r="A39" s="9"/>
      <c r="B39" s="21" t="s">
        <v>113</v>
      </c>
      <c r="C39" s="43">
        <v>300</v>
      </c>
      <c r="D39" s="43">
        <v>260</v>
      </c>
      <c r="E39" s="43">
        <v>500</v>
      </c>
      <c r="F39" s="44">
        <v>428.89</v>
      </c>
      <c r="G39" s="9"/>
      <c r="H39" s="9"/>
      <c r="I39" s="9"/>
      <c r="J39" s="9"/>
      <c r="K39" s="9"/>
      <c r="L39" s="9"/>
      <c r="M39" s="8"/>
      <c r="N39" s="8"/>
    </row>
    <row r="40" spans="1:14">
      <c r="A40" s="9"/>
      <c r="B40" s="16" t="s">
        <v>97</v>
      </c>
      <c r="C40" s="44">
        <v>262.5</v>
      </c>
      <c r="D40" s="44">
        <v>226.25</v>
      </c>
      <c r="E40" s="44">
        <v>473.08</v>
      </c>
      <c r="F40" s="45">
        <v>346.9</v>
      </c>
      <c r="G40" s="9"/>
      <c r="H40" s="9"/>
      <c r="I40" s="9"/>
      <c r="J40" s="9"/>
      <c r="K40" s="9"/>
      <c r="L40" s="9"/>
      <c r="M40" s="8"/>
      <c r="N40" s="8"/>
    </row>
    <row r="41" spans="1:14">
      <c r="A41" s="9"/>
      <c r="B41" s="39"/>
      <c r="C41" s="39"/>
      <c r="D41" s="39"/>
      <c r="E41" s="39"/>
      <c r="F41" s="40"/>
      <c r="G41" s="9"/>
      <c r="H41" s="9"/>
      <c r="I41" s="9"/>
      <c r="J41" s="9"/>
      <c r="K41" s="9"/>
      <c r="L41" s="9"/>
      <c r="M41" s="8"/>
      <c r="N41" s="8"/>
    </row>
    <row r="43" spans="1:14">
      <c r="A43" s="6" t="s">
        <v>5</v>
      </c>
      <c r="B43" s="293" t="s">
        <v>117</v>
      </c>
      <c r="C43" s="293"/>
      <c r="D43" s="293"/>
      <c r="E43" s="293"/>
      <c r="F43" s="293"/>
      <c r="G43" s="293"/>
      <c r="H43" s="293"/>
      <c r="I43" s="293"/>
      <c r="J43" s="293"/>
      <c r="K43" s="293"/>
      <c r="L43" s="4"/>
    </row>
    <row r="44" spans="1:14">
      <c r="A44" s="6"/>
      <c r="B44" s="293"/>
      <c r="C44" s="293"/>
      <c r="D44" s="293"/>
      <c r="E44" s="293"/>
      <c r="F44" s="293"/>
      <c r="G44" s="293"/>
      <c r="H44" s="293"/>
      <c r="I44" s="293"/>
      <c r="J44" s="293"/>
      <c r="K44" s="293"/>
      <c r="L44" s="4"/>
    </row>
    <row r="45" spans="1:14">
      <c r="A45" s="3"/>
      <c r="B45" s="3"/>
      <c r="C45" s="3"/>
      <c r="D45" s="3"/>
      <c r="E45" s="3"/>
      <c r="F45" s="3"/>
      <c r="G45" s="4"/>
      <c r="H45" s="4"/>
      <c r="I45" s="4"/>
      <c r="J45" s="4"/>
      <c r="K45" s="4"/>
      <c r="L45" s="4"/>
    </row>
    <row r="46" spans="1:14">
      <c r="A46" s="7"/>
      <c r="B46" s="7"/>
      <c r="C46" s="7"/>
      <c r="D46" s="7"/>
      <c r="E46" s="7"/>
      <c r="F46" s="7"/>
      <c r="G46" s="7"/>
      <c r="H46" s="7"/>
      <c r="I46" s="7"/>
      <c r="J46" s="7"/>
      <c r="K46" s="7"/>
      <c r="L46" s="7"/>
    </row>
    <row r="47" spans="1:14">
      <c r="A47" s="7" t="s">
        <v>1</v>
      </c>
      <c r="B47" s="7"/>
      <c r="C47" s="7"/>
      <c r="D47" s="7"/>
      <c r="E47" s="7"/>
      <c r="F47" s="7"/>
      <c r="G47" s="7"/>
      <c r="H47" s="7"/>
      <c r="I47" s="7"/>
      <c r="J47" s="7"/>
      <c r="K47" s="7"/>
      <c r="L47" s="7"/>
    </row>
    <row r="48" spans="1:14">
      <c r="A48" s="7"/>
      <c r="B48" s="93"/>
      <c r="C48" s="93"/>
      <c r="D48" s="93"/>
      <c r="E48" s="316" t="s">
        <v>395</v>
      </c>
      <c r="F48" s="316"/>
      <c r="G48" s="316"/>
      <c r="H48" s="316"/>
      <c r="I48" s="7"/>
      <c r="J48" s="7"/>
      <c r="K48" s="7"/>
      <c r="L48" s="7"/>
    </row>
    <row r="49" spans="1:13" ht="31.2">
      <c r="A49" s="7"/>
      <c r="B49" s="128" t="s">
        <v>109</v>
      </c>
      <c r="C49" s="128" t="s">
        <v>110</v>
      </c>
      <c r="D49" s="128" t="s">
        <v>108</v>
      </c>
      <c r="E49" s="128" t="s">
        <v>109</v>
      </c>
      <c r="F49" s="128" t="s">
        <v>110</v>
      </c>
      <c r="G49" s="127" t="s">
        <v>397</v>
      </c>
      <c r="H49" s="127" t="s">
        <v>396</v>
      </c>
      <c r="I49" s="7"/>
      <c r="J49" s="7"/>
      <c r="K49" s="7"/>
      <c r="L49" s="7"/>
    </row>
    <row r="50" spans="1:13">
      <c r="B50" s="132" t="s">
        <v>111</v>
      </c>
      <c r="C50" s="132">
        <v>1</v>
      </c>
      <c r="D50" s="131">
        <f>C12</f>
        <v>2700</v>
      </c>
      <c r="E50" s="201">
        <f>F37/$F$40</f>
        <v>0.81501873738829644</v>
      </c>
      <c r="F50" s="201">
        <f>C40/$F$40</f>
        <v>0.75670221965984441</v>
      </c>
      <c r="G50" s="199">
        <f t="shared" ref="G50:G58" si="6">E50*F50*$F$40</f>
        <v>213.94241856442781</v>
      </c>
      <c r="H50" s="199">
        <f t="shared" ref="H50:H58" si="7">G50*$F$40/$G$59</f>
        <v>209.92874393503615</v>
      </c>
      <c r="M50" s="7"/>
    </row>
    <row r="51" spans="1:13">
      <c r="B51" s="132" t="str">
        <f>B50</f>
        <v>A</v>
      </c>
      <c r="C51" s="132">
        <v>2</v>
      </c>
      <c r="D51" s="131">
        <f>D12</f>
        <v>2700</v>
      </c>
      <c r="E51" s="201">
        <f>E50</f>
        <v>0.81501873738829644</v>
      </c>
      <c r="F51" s="201">
        <f>D40/$F$40</f>
        <v>0.65220524646872302</v>
      </c>
      <c r="G51" s="199">
        <f t="shared" si="6"/>
        <v>184.39798933410208</v>
      </c>
      <c r="H51" s="199">
        <f t="shared" si="7"/>
        <v>180.93858405829309</v>
      </c>
      <c r="M51" s="7"/>
    </row>
    <row r="52" spans="1:13">
      <c r="B52" s="132" t="str">
        <f>B51</f>
        <v>A</v>
      </c>
      <c r="C52" s="132">
        <v>3</v>
      </c>
      <c r="D52" s="131">
        <f>E12</f>
        <v>2025</v>
      </c>
      <c r="E52" s="201">
        <f>E51</f>
        <v>0.81501873738829644</v>
      </c>
      <c r="F52" s="201">
        <f>E40/$F$40</f>
        <v>1.3637359469587778</v>
      </c>
      <c r="G52" s="199">
        <f t="shared" si="6"/>
        <v>385.56906428365522</v>
      </c>
      <c r="H52" s="199">
        <f t="shared" si="7"/>
        <v>378.33558164109292</v>
      </c>
      <c r="M52" s="7"/>
    </row>
    <row r="53" spans="1:13">
      <c r="B53" s="132" t="s">
        <v>112</v>
      </c>
      <c r="C53" s="132">
        <f>C50</f>
        <v>1</v>
      </c>
      <c r="D53" s="131">
        <f>C13</f>
        <v>1350</v>
      </c>
      <c r="E53" s="201">
        <f>F38/$F$40</f>
        <v>0.98970884981262619</v>
      </c>
      <c r="F53" s="201">
        <f>F50</f>
        <v>0.75670221965984441</v>
      </c>
      <c r="G53" s="199">
        <f t="shared" si="6"/>
        <v>259.79857307581437</v>
      </c>
      <c r="H53" s="199">
        <f t="shared" si="7"/>
        <v>254.92461236945482</v>
      </c>
    </row>
    <row r="54" spans="1:13">
      <c r="B54" s="132" t="s">
        <v>112</v>
      </c>
      <c r="C54" s="132">
        <f t="shared" ref="C54:C58" si="8">C51</f>
        <v>2</v>
      </c>
      <c r="D54" s="131">
        <f>D13</f>
        <v>2025</v>
      </c>
      <c r="E54" s="201">
        <f t="shared" ref="E54:E55" si="9">E53</f>
        <v>0.98970884981262619</v>
      </c>
      <c r="F54" s="201">
        <f t="shared" ref="F54:F58" si="10">F51</f>
        <v>0.65220524646872302</v>
      </c>
      <c r="G54" s="199">
        <f t="shared" si="6"/>
        <v>223.92162727010668</v>
      </c>
      <c r="H54" s="199">
        <f t="shared" si="7"/>
        <v>219.72073732795869</v>
      </c>
    </row>
    <row r="55" spans="1:13">
      <c r="B55" s="132" t="s">
        <v>112</v>
      </c>
      <c r="C55" s="132">
        <f t="shared" si="8"/>
        <v>3</v>
      </c>
      <c r="D55" s="131">
        <f>E13</f>
        <v>2700</v>
      </c>
      <c r="E55" s="201">
        <f t="shared" si="9"/>
        <v>0.98970884981262619</v>
      </c>
      <c r="F55" s="201">
        <f t="shared" si="10"/>
        <v>1.3637359469587778</v>
      </c>
      <c r="G55" s="199">
        <f t="shared" si="6"/>
        <v>468.21146266935716</v>
      </c>
      <c r="H55" s="199">
        <f t="shared" si="7"/>
        <v>459.42756426568263</v>
      </c>
    </row>
    <row r="56" spans="1:13">
      <c r="B56" s="132" t="s">
        <v>113</v>
      </c>
      <c r="C56" s="132">
        <f t="shared" si="8"/>
        <v>1</v>
      </c>
      <c r="D56" s="131">
        <f>C14</f>
        <v>1350</v>
      </c>
      <c r="E56" s="201">
        <f>F39/$F$40</f>
        <v>1.2363505332948976</v>
      </c>
      <c r="F56" s="201">
        <f t="shared" si="10"/>
        <v>0.75670221965984441</v>
      </c>
      <c r="G56" s="199">
        <f t="shared" si="6"/>
        <v>324.54201498991063</v>
      </c>
      <c r="H56" s="199">
        <f t="shared" si="7"/>
        <v>318.45343255507959</v>
      </c>
    </row>
    <row r="57" spans="1:13">
      <c r="B57" s="132" t="s">
        <v>113</v>
      </c>
      <c r="C57" s="132">
        <f t="shared" si="8"/>
        <v>2</v>
      </c>
      <c r="D57" s="131">
        <f>D14</f>
        <v>675</v>
      </c>
      <c r="E57" s="201">
        <f t="shared" ref="E57:E58" si="11">E56</f>
        <v>1.2363505332948976</v>
      </c>
      <c r="F57" s="201">
        <f t="shared" si="10"/>
        <v>0.65220524646872302</v>
      </c>
      <c r="G57" s="199">
        <f t="shared" si="6"/>
        <v>279.7243081579706</v>
      </c>
      <c r="H57" s="199">
        <f t="shared" si="7"/>
        <v>274.47652996414001</v>
      </c>
    </row>
    <row r="58" spans="1:13">
      <c r="B58" s="128" t="s">
        <v>113</v>
      </c>
      <c r="C58" s="128">
        <f t="shared" si="8"/>
        <v>3</v>
      </c>
      <c r="D58" s="166">
        <f>E14</f>
        <v>4050</v>
      </c>
      <c r="E58" s="181">
        <f t="shared" si="11"/>
        <v>1.2363505332948976</v>
      </c>
      <c r="F58" s="181">
        <f t="shared" si="10"/>
        <v>1.3637359469587778</v>
      </c>
      <c r="G58" s="202">
        <f t="shared" si="6"/>
        <v>584.89271029115014</v>
      </c>
      <c r="H58" s="202">
        <f t="shared" si="7"/>
        <v>573.91980904059824</v>
      </c>
    </row>
    <row r="59" spans="1:13">
      <c r="B59" s="93"/>
      <c r="C59" s="93"/>
      <c r="D59" s="93"/>
      <c r="E59" s="132"/>
      <c r="F59" s="132"/>
      <c r="G59" s="199">
        <f>SUMPRODUCT($D$50:$D$58,G50:G58)/SUM($D$50:$D$58)</f>
        <v>353.53245872307428</v>
      </c>
      <c r="H59" s="199">
        <f>SUMPRODUCT($D$50:$D$58,H50:H58)/SUM($D$50:$D$58)</f>
        <v>346.9</v>
      </c>
    </row>
    <row r="61" spans="1:13">
      <c r="A61" s="9"/>
      <c r="B61" s="9"/>
      <c r="C61" s="9"/>
      <c r="D61" s="9"/>
      <c r="E61" s="9"/>
      <c r="F61" s="9"/>
      <c r="G61" s="9"/>
      <c r="H61" s="9"/>
      <c r="I61" s="9"/>
      <c r="J61" s="9"/>
      <c r="K61" s="9"/>
      <c r="L61" s="9"/>
    </row>
    <row r="62" spans="1:13" ht="15.6" customHeight="1">
      <c r="A62" s="10" t="s">
        <v>118</v>
      </c>
      <c r="B62" s="10"/>
      <c r="C62" s="10"/>
      <c r="D62" s="10"/>
      <c r="E62" s="10"/>
      <c r="F62" s="10"/>
      <c r="G62" s="10"/>
      <c r="H62" s="10"/>
      <c r="I62" s="10"/>
      <c r="J62" s="10"/>
      <c r="K62" s="10"/>
      <c r="L62" s="9"/>
    </row>
    <row r="63" spans="1:13">
      <c r="A63" s="9"/>
      <c r="B63" s="9"/>
      <c r="C63" s="9"/>
      <c r="D63" s="9"/>
      <c r="E63" s="9"/>
      <c r="F63" s="9"/>
      <c r="G63" s="9"/>
      <c r="H63" s="9"/>
      <c r="I63" s="9"/>
      <c r="J63" s="9"/>
      <c r="K63" s="9"/>
      <c r="L63" s="9"/>
    </row>
    <row r="65" spans="1:14">
      <c r="A65" s="6" t="s">
        <v>0</v>
      </c>
      <c r="B65" s="9" t="s">
        <v>119</v>
      </c>
      <c r="C65" s="4"/>
      <c r="D65" s="4"/>
      <c r="E65" s="4"/>
      <c r="F65" s="4"/>
      <c r="G65" s="4"/>
      <c r="H65" s="4"/>
      <c r="I65" s="4"/>
      <c r="J65" s="4"/>
      <c r="K65" s="4"/>
      <c r="L65" s="4"/>
    </row>
    <row r="66" spans="1:14">
      <c r="A66" s="3"/>
      <c r="B66" s="3"/>
      <c r="C66" s="3"/>
      <c r="D66" s="3"/>
      <c r="E66" s="3"/>
      <c r="F66" s="3"/>
      <c r="G66" s="4"/>
      <c r="H66" s="4"/>
      <c r="I66" s="4"/>
      <c r="J66" s="4"/>
      <c r="K66" s="4"/>
      <c r="L66" s="4"/>
    </row>
    <row r="67" spans="1:14">
      <c r="A67" s="7"/>
      <c r="B67" s="7"/>
      <c r="C67" s="7"/>
      <c r="D67" s="7"/>
      <c r="E67" s="7"/>
      <c r="F67" s="7"/>
      <c r="G67" s="7"/>
      <c r="H67" s="7"/>
      <c r="I67" s="7"/>
      <c r="J67" s="7"/>
      <c r="K67" s="7"/>
      <c r="L67" s="7"/>
    </row>
    <row r="68" spans="1:14">
      <c r="A68" s="7" t="s">
        <v>1</v>
      </c>
      <c r="B68" s="7"/>
      <c r="C68" s="7"/>
      <c r="D68" s="7"/>
      <c r="E68" s="7"/>
      <c r="F68" s="7"/>
      <c r="G68" s="7"/>
      <c r="H68" s="7"/>
      <c r="I68" s="7"/>
      <c r="J68" s="7"/>
      <c r="K68" s="7"/>
      <c r="L68" s="7"/>
    </row>
    <row r="69" spans="1:14">
      <c r="A69" s="7"/>
      <c r="C69" s="7"/>
      <c r="D69" s="7"/>
      <c r="E69" s="194" t="s">
        <v>400</v>
      </c>
      <c r="F69" s="194" t="s">
        <v>401</v>
      </c>
      <c r="G69" s="194" t="s">
        <v>402</v>
      </c>
      <c r="H69" s="7"/>
      <c r="I69" s="7"/>
      <c r="J69" s="7"/>
      <c r="K69" s="7"/>
      <c r="L69" s="7"/>
    </row>
    <row r="70" spans="1:14">
      <c r="A70" s="7"/>
      <c r="B70" s="7" t="s">
        <v>399</v>
      </c>
      <c r="C70" s="7"/>
      <c r="D70" s="7"/>
      <c r="E70" s="204">
        <f>C40/$F$40</f>
        <v>0.75670221965984441</v>
      </c>
      <c r="F70" s="204">
        <f t="shared" ref="F70:G70" si="12">D40/$F$40</f>
        <v>0.65220524646872302</v>
      </c>
      <c r="G70" s="204">
        <f t="shared" si="12"/>
        <v>1.3637359469587778</v>
      </c>
      <c r="H70" s="7"/>
      <c r="I70" s="7"/>
      <c r="J70" s="7"/>
      <c r="K70" s="7"/>
      <c r="L70" s="7"/>
    </row>
    <row r="72" spans="1:14">
      <c r="B72" s="7" t="s">
        <v>398</v>
      </c>
    </row>
    <row r="73" spans="1:14">
      <c r="B73" s="205" t="s">
        <v>111</v>
      </c>
      <c r="C73" s="189">
        <f>SUMPRODUCT(C12:E12,C37:E37)</f>
        <v>2099250</v>
      </c>
    </row>
    <row r="74" spans="1:14">
      <c r="B74" s="205" t="s">
        <v>112</v>
      </c>
      <c r="C74" s="189">
        <f>SUMPRODUCT(C13:E13,C38:E38)</f>
        <v>2085750</v>
      </c>
    </row>
    <row r="75" spans="1:14">
      <c r="B75" s="205" t="s">
        <v>113</v>
      </c>
      <c r="C75" s="189">
        <f>SUMPRODUCT(C14:E14,C39:E39)</f>
        <v>2605500</v>
      </c>
    </row>
    <row r="77" spans="1:14">
      <c r="B77" s="1" t="s">
        <v>403</v>
      </c>
    </row>
    <row r="78" spans="1:14">
      <c r="B78" s="205" t="s">
        <v>111</v>
      </c>
      <c r="C78" s="208">
        <f>C73/(SUMPRODUCT($E$70:$G$70,C12:E12)*$F$40)</f>
        <v>0.92168903219687992</v>
      </c>
      <c r="M78" s="7"/>
      <c r="N78" s="7"/>
    </row>
    <row r="79" spans="1:14">
      <c r="B79" s="205" t="s">
        <v>112</v>
      </c>
      <c r="C79" s="208">
        <f>C74/(SUMPRODUCT($E$70:$G$70,C13:E13)*$F$40)</f>
        <v>0.9980394500124351</v>
      </c>
      <c r="M79" s="7"/>
      <c r="N79" s="7"/>
    </row>
    <row r="80" spans="1:14">
      <c r="B80" s="205" t="s">
        <v>113</v>
      </c>
      <c r="C80" s="208">
        <f>C75/(SUMPRODUCT($E$70:$G$70,C14:E14)*$F$40)</f>
        <v>1.0752897850256147</v>
      </c>
      <c r="M80" s="7"/>
      <c r="N80" s="7"/>
    </row>
    <row r="82" spans="1:13">
      <c r="A82" s="6" t="s">
        <v>2</v>
      </c>
      <c r="B82" s="293" t="s">
        <v>120</v>
      </c>
      <c r="C82" s="293"/>
      <c r="D82" s="293"/>
      <c r="E82" s="293"/>
      <c r="F82" s="293"/>
      <c r="G82" s="293"/>
      <c r="H82" s="293"/>
      <c r="I82" s="293"/>
      <c r="J82" s="293"/>
      <c r="K82" s="293"/>
      <c r="L82" s="4"/>
    </row>
    <row r="83" spans="1:13">
      <c r="A83" s="6"/>
      <c r="B83" s="293"/>
      <c r="C83" s="293"/>
      <c r="D83" s="293"/>
      <c r="E83" s="293"/>
      <c r="F83" s="293"/>
      <c r="G83" s="293"/>
      <c r="H83" s="293"/>
      <c r="I83" s="293"/>
      <c r="J83" s="293"/>
      <c r="K83" s="293"/>
      <c r="L83" s="4"/>
    </row>
    <row r="84" spans="1:13">
      <c r="A84" s="3"/>
      <c r="B84" s="3"/>
      <c r="C84" s="3"/>
      <c r="D84" s="3"/>
      <c r="E84" s="3"/>
      <c r="F84" s="3"/>
      <c r="G84" s="4"/>
      <c r="H84" s="4"/>
      <c r="I84" s="4"/>
      <c r="J84" s="4"/>
      <c r="K84" s="4"/>
      <c r="L84" s="4"/>
    </row>
    <row r="85" spans="1:13">
      <c r="A85" s="7"/>
      <c r="B85" s="7"/>
      <c r="C85" s="7"/>
      <c r="D85" s="7"/>
      <c r="E85" s="7"/>
      <c r="F85" s="7"/>
      <c r="G85" s="7"/>
      <c r="H85" s="7"/>
      <c r="I85" s="7"/>
      <c r="J85" s="7"/>
      <c r="K85" s="7"/>
      <c r="L85" s="7"/>
    </row>
    <row r="86" spans="1:13">
      <c r="A86" s="7" t="s">
        <v>1</v>
      </c>
      <c r="B86" s="7"/>
      <c r="C86" s="7"/>
      <c r="D86" s="7"/>
      <c r="E86" s="7"/>
      <c r="F86" s="7"/>
      <c r="G86" s="7"/>
      <c r="H86" s="7"/>
      <c r="I86" s="7"/>
      <c r="J86" s="7"/>
      <c r="K86" s="7"/>
      <c r="L86" s="7"/>
    </row>
    <row r="87" spans="1:13">
      <c r="A87" s="7"/>
      <c r="B87" s="7" t="s">
        <v>404</v>
      </c>
      <c r="C87" s="7"/>
      <c r="D87" s="7"/>
      <c r="E87" s="7"/>
      <c r="F87" s="7"/>
      <c r="G87" s="7"/>
      <c r="H87" s="7"/>
      <c r="I87" s="7"/>
      <c r="J87" s="7"/>
      <c r="K87" s="7"/>
      <c r="L87" s="7"/>
    </row>
    <row r="88" spans="1:13">
      <c r="A88" s="7"/>
      <c r="B88" s="7"/>
      <c r="C88" s="7"/>
      <c r="D88" s="7"/>
      <c r="E88" s="7"/>
      <c r="F88" s="7"/>
      <c r="G88" s="7"/>
      <c r="H88" s="7"/>
      <c r="I88" s="7"/>
      <c r="J88" s="7"/>
      <c r="K88" s="7"/>
      <c r="L88" s="7"/>
    </row>
    <row r="91" spans="1:13">
      <c r="M91" s="7"/>
    </row>
    <row r="92" spans="1:13">
      <c r="M92" s="7"/>
    </row>
  </sheetData>
  <mergeCells count="15">
    <mergeCell ref="B43:K44"/>
    <mergeCell ref="B82:K83"/>
    <mergeCell ref="A3:K4"/>
    <mergeCell ref="B9:E9"/>
    <mergeCell ref="B10:B11"/>
    <mergeCell ref="C10:E10"/>
    <mergeCell ref="B34:F34"/>
    <mergeCell ref="B35:B36"/>
    <mergeCell ref="C35:E35"/>
    <mergeCell ref="B22:E22"/>
    <mergeCell ref="B23:B24"/>
    <mergeCell ref="C23:E23"/>
    <mergeCell ref="F23:H23"/>
    <mergeCell ref="F22:H22"/>
    <mergeCell ref="E48:H48"/>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446BC-B836-498D-AD96-F5B74B320F5F}">
  <dimension ref="A1:R161"/>
  <sheetViews>
    <sheetView zoomScaleNormal="100" workbookViewId="0"/>
  </sheetViews>
  <sheetFormatPr defaultColWidth="8.88671875" defaultRowHeight="15.6"/>
  <cols>
    <col min="1" max="1" width="8.88671875" style="1" customWidth="1"/>
    <col min="2" max="8" width="12.6640625" style="1" customWidth="1"/>
    <col min="9" max="16384" width="8.88671875" style="1"/>
  </cols>
  <sheetData>
    <row r="1" spans="1:12" ht="17.399999999999999">
      <c r="A1" s="2" t="s">
        <v>121</v>
      </c>
      <c r="B1" s="4"/>
      <c r="C1" s="9" t="s">
        <v>29</v>
      </c>
      <c r="D1" s="4"/>
      <c r="E1" s="4"/>
      <c r="F1" s="4"/>
      <c r="G1" s="4"/>
      <c r="H1" s="4"/>
      <c r="I1" s="4"/>
      <c r="J1" s="4"/>
      <c r="K1" s="4"/>
      <c r="L1" s="3"/>
    </row>
    <row r="2" spans="1:12">
      <c r="A2" s="4"/>
      <c r="B2" s="4"/>
      <c r="C2" s="4"/>
      <c r="D2" s="4"/>
      <c r="E2" s="4"/>
      <c r="F2" s="4"/>
      <c r="G2" s="4"/>
      <c r="H2" s="4"/>
      <c r="I2" s="4"/>
      <c r="J2" s="4"/>
      <c r="K2" s="4"/>
      <c r="L2" s="3"/>
    </row>
    <row r="3" spans="1:12">
      <c r="A3" s="9" t="s">
        <v>122</v>
      </c>
      <c r="B3" s="12"/>
      <c r="C3" s="12"/>
      <c r="D3" s="12"/>
      <c r="E3" s="12"/>
      <c r="F3" s="12"/>
      <c r="G3" s="12"/>
      <c r="H3" s="12"/>
      <c r="I3" s="12"/>
      <c r="J3" s="12"/>
      <c r="K3" s="4"/>
      <c r="L3" s="3"/>
    </row>
    <row r="4" spans="1:12" s="11" customFormat="1">
      <c r="A4" s="13"/>
      <c r="B4" s="10"/>
      <c r="C4" s="10"/>
      <c r="D4" s="10"/>
      <c r="E4" s="10"/>
      <c r="F4" s="10"/>
      <c r="G4" s="10"/>
      <c r="H4" s="10"/>
      <c r="I4" s="10"/>
      <c r="J4" s="10"/>
      <c r="K4" s="10"/>
      <c r="L4" s="10"/>
    </row>
    <row r="5" spans="1:12" s="11" customFormat="1">
      <c r="A5" s="13"/>
      <c r="B5" s="33" t="s">
        <v>31</v>
      </c>
      <c r="C5" s="291" t="s">
        <v>123</v>
      </c>
      <c r="D5" s="291"/>
      <c r="E5" s="291"/>
      <c r="F5" s="291"/>
      <c r="G5" s="291"/>
      <c r="H5" s="291"/>
      <c r="I5" s="10"/>
      <c r="J5" s="10"/>
      <c r="K5" s="10"/>
      <c r="L5" s="10"/>
    </row>
    <row r="6" spans="1:12" s="11" customFormat="1">
      <c r="A6" s="13"/>
      <c r="B6" s="34" t="s">
        <v>32</v>
      </c>
      <c r="C6" s="35">
        <v>12</v>
      </c>
      <c r="D6" s="35">
        <v>24</v>
      </c>
      <c r="E6" s="35">
        <v>36</v>
      </c>
      <c r="F6" s="35">
        <v>48</v>
      </c>
      <c r="G6" s="35">
        <v>60</v>
      </c>
      <c r="H6" s="35">
        <v>72</v>
      </c>
      <c r="I6" s="10"/>
      <c r="J6" s="10"/>
      <c r="K6" s="10"/>
      <c r="L6" s="10"/>
    </row>
    <row r="7" spans="1:12" s="11" customFormat="1">
      <c r="A7" s="13"/>
      <c r="B7" s="16">
        <v>2016</v>
      </c>
      <c r="C7" s="17">
        <v>30847710</v>
      </c>
      <c r="D7" s="17">
        <v>36970980</v>
      </c>
      <c r="E7" s="17">
        <v>39804500</v>
      </c>
      <c r="F7" s="17">
        <v>49934760</v>
      </c>
      <c r="G7" s="17">
        <v>50877310</v>
      </c>
      <c r="H7" s="17">
        <v>43481120</v>
      </c>
      <c r="I7" s="10"/>
      <c r="J7" s="10"/>
      <c r="K7" s="10"/>
      <c r="L7" s="10"/>
    </row>
    <row r="8" spans="1:12" s="11" customFormat="1">
      <c r="A8" s="13"/>
      <c r="B8" s="16">
        <v>2017</v>
      </c>
      <c r="C8" s="17">
        <v>34029400</v>
      </c>
      <c r="D8" s="17">
        <v>38856540</v>
      </c>
      <c r="E8" s="17">
        <v>45646070</v>
      </c>
      <c r="F8" s="17">
        <v>51501360</v>
      </c>
      <c r="G8" s="17">
        <v>46739030</v>
      </c>
      <c r="H8" s="16"/>
      <c r="I8" s="10"/>
      <c r="J8" s="10"/>
      <c r="K8" s="10"/>
      <c r="L8" s="10"/>
    </row>
    <row r="9" spans="1:12" s="11" customFormat="1">
      <c r="A9" s="12"/>
      <c r="B9" s="16">
        <v>2018</v>
      </c>
      <c r="C9" s="17">
        <v>38734090</v>
      </c>
      <c r="D9" s="17">
        <v>40177840</v>
      </c>
      <c r="E9" s="17">
        <v>47328140</v>
      </c>
      <c r="F9" s="17">
        <v>47597670</v>
      </c>
      <c r="G9" s="16"/>
      <c r="H9" s="16"/>
      <c r="I9" s="10"/>
      <c r="J9" s="10"/>
      <c r="K9" s="10"/>
      <c r="L9" s="10"/>
    </row>
    <row r="10" spans="1:12" s="11" customFormat="1">
      <c r="A10" s="12"/>
      <c r="B10" s="16">
        <v>2019</v>
      </c>
      <c r="C10" s="17">
        <v>39000910</v>
      </c>
      <c r="D10" s="17">
        <v>39002570</v>
      </c>
      <c r="E10" s="17">
        <v>40849280</v>
      </c>
      <c r="F10" s="16"/>
      <c r="G10" s="16"/>
      <c r="H10" s="16"/>
      <c r="I10" s="10"/>
      <c r="J10" s="10"/>
      <c r="K10" s="10"/>
      <c r="L10" s="10"/>
    </row>
    <row r="11" spans="1:12" s="11" customFormat="1">
      <c r="A11" s="13"/>
      <c r="B11" s="16">
        <v>2020</v>
      </c>
      <c r="C11" s="17">
        <v>41845080</v>
      </c>
      <c r="D11" s="17">
        <v>39427380</v>
      </c>
      <c r="E11" s="16"/>
      <c r="F11" s="16"/>
      <c r="G11" s="16"/>
      <c r="H11" s="16"/>
      <c r="I11" s="10"/>
      <c r="J11" s="10"/>
      <c r="K11" s="10"/>
      <c r="L11" s="10"/>
    </row>
    <row r="12" spans="1:12" s="11" customFormat="1">
      <c r="A12" s="12"/>
      <c r="B12" s="16">
        <v>2021</v>
      </c>
      <c r="C12" s="17">
        <v>42482430</v>
      </c>
      <c r="D12" s="16"/>
      <c r="E12" s="16"/>
      <c r="F12" s="16"/>
      <c r="G12" s="16"/>
      <c r="H12" s="16"/>
      <c r="I12" s="10"/>
      <c r="J12" s="10"/>
      <c r="K12" s="10"/>
      <c r="L12" s="10"/>
    </row>
    <row r="13" spans="1:12" s="11" customFormat="1">
      <c r="A13" s="12"/>
      <c r="B13" s="9"/>
      <c r="C13" s="9"/>
      <c r="D13" s="9"/>
      <c r="E13" s="9"/>
      <c r="F13" s="9"/>
      <c r="G13" s="9"/>
      <c r="H13" s="9"/>
      <c r="I13" s="10"/>
      <c r="J13" s="10"/>
      <c r="K13" s="10"/>
      <c r="L13" s="10"/>
    </row>
    <row r="14" spans="1:12" s="11" customFormat="1">
      <c r="A14" s="12"/>
      <c r="B14" s="33" t="s">
        <v>31</v>
      </c>
      <c r="C14" s="291" t="s">
        <v>124</v>
      </c>
      <c r="D14" s="291"/>
      <c r="E14" s="291"/>
      <c r="F14" s="291"/>
      <c r="G14" s="291"/>
      <c r="H14" s="291"/>
      <c r="I14" s="10"/>
      <c r="J14" s="10"/>
      <c r="K14" s="10"/>
      <c r="L14" s="10"/>
    </row>
    <row r="15" spans="1:12" s="11" customFormat="1">
      <c r="A15" s="12"/>
      <c r="B15" s="34" t="s">
        <v>32</v>
      </c>
      <c r="C15" s="35">
        <v>12</v>
      </c>
      <c r="D15" s="35">
        <v>24</v>
      </c>
      <c r="E15" s="35">
        <v>36</v>
      </c>
      <c r="F15" s="35">
        <v>48</v>
      </c>
      <c r="G15" s="35">
        <v>60</v>
      </c>
      <c r="H15" s="35">
        <v>72</v>
      </c>
      <c r="I15" s="10"/>
      <c r="J15" s="10"/>
      <c r="K15" s="10"/>
      <c r="L15" s="10"/>
    </row>
    <row r="16" spans="1:12" s="11" customFormat="1">
      <c r="A16" s="12"/>
      <c r="B16" s="16">
        <v>2016</v>
      </c>
      <c r="C16" s="17">
        <v>10450640</v>
      </c>
      <c r="D16" s="17">
        <v>17578750</v>
      </c>
      <c r="E16" s="17">
        <v>24478180</v>
      </c>
      <c r="F16" s="17">
        <v>28746870</v>
      </c>
      <c r="G16" s="17">
        <v>31182590</v>
      </c>
      <c r="H16" s="17">
        <v>37359990</v>
      </c>
      <c r="I16" s="10"/>
      <c r="J16" s="10"/>
      <c r="K16" s="10"/>
      <c r="L16" s="10"/>
    </row>
    <row r="17" spans="1:12" s="11" customFormat="1">
      <c r="A17" s="12"/>
      <c r="B17" s="16">
        <v>2017</v>
      </c>
      <c r="C17" s="17">
        <v>10463190</v>
      </c>
      <c r="D17" s="17">
        <v>18205500</v>
      </c>
      <c r="E17" s="17">
        <v>24401580</v>
      </c>
      <c r="F17" s="17">
        <v>30144600</v>
      </c>
      <c r="G17" s="17">
        <v>36751040</v>
      </c>
      <c r="H17" s="16"/>
      <c r="I17" s="10"/>
      <c r="J17" s="10"/>
      <c r="K17" s="10"/>
      <c r="L17" s="10"/>
    </row>
    <row r="18" spans="1:12" s="11" customFormat="1">
      <c r="A18" s="12"/>
      <c r="B18" s="16">
        <v>2018</v>
      </c>
      <c r="C18" s="17">
        <v>10407100</v>
      </c>
      <c r="D18" s="17">
        <v>18712370</v>
      </c>
      <c r="E18" s="17">
        <v>26582760</v>
      </c>
      <c r="F18" s="17">
        <v>35904160</v>
      </c>
      <c r="G18" s="16"/>
      <c r="H18" s="16"/>
      <c r="I18" s="10"/>
      <c r="J18" s="10"/>
      <c r="K18" s="10"/>
      <c r="L18" s="10"/>
    </row>
    <row r="19" spans="1:12" s="11" customFormat="1">
      <c r="A19" s="12"/>
      <c r="B19" s="16">
        <v>2019</v>
      </c>
      <c r="C19" s="17">
        <v>10849930</v>
      </c>
      <c r="D19" s="17">
        <v>20766690</v>
      </c>
      <c r="E19" s="17">
        <v>33573290</v>
      </c>
      <c r="F19" s="16"/>
      <c r="G19" s="16"/>
      <c r="H19" s="16"/>
      <c r="I19" s="10"/>
      <c r="J19" s="10"/>
      <c r="K19" s="10"/>
      <c r="L19" s="10"/>
    </row>
    <row r="20" spans="1:12" s="11" customFormat="1">
      <c r="A20" s="12"/>
      <c r="B20" s="16">
        <v>2020</v>
      </c>
      <c r="C20" s="17">
        <v>11502420</v>
      </c>
      <c r="D20" s="17">
        <v>23964040</v>
      </c>
      <c r="E20" s="16"/>
      <c r="F20" s="16"/>
      <c r="G20" s="16"/>
      <c r="H20" s="16"/>
      <c r="I20" s="10"/>
      <c r="J20" s="10"/>
      <c r="K20" s="10"/>
      <c r="L20" s="10"/>
    </row>
    <row r="21" spans="1:12" s="11" customFormat="1">
      <c r="A21" s="12"/>
      <c r="B21" s="16">
        <v>2021</v>
      </c>
      <c r="C21" s="17">
        <v>12921930</v>
      </c>
      <c r="D21" s="16"/>
      <c r="E21" s="16"/>
      <c r="F21" s="16"/>
      <c r="G21" s="16"/>
      <c r="H21" s="16"/>
      <c r="I21" s="10"/>
      <c r="J21" s="10"/>
      <c r="K21" s="10"/>
      <c r="L21" s="10"/>
    </row>
    <row r="22" spans="1:12" s="11" customFormat="1">
      <c r="A22" s="12"/>
      <c r="B22" s="9"/>
      <c r="C22" s="9"/>
      <c r="D22" s="9"/>
      <c r="E22" s="9"/>
      <c r="F22" s="9"/>
      <c r="G22" s="9"/>
      <c r="H22" s="9"/>
      <c r="I22" s="10"/>
      <c r="J22" s="10"/>
      <c r="K22" s="10"/>
      <c r="L22" s="10"/>
    </row>
    <row r="23" spans="1:12" s="11" customFormat="1">
      <c r="A23" s="12"/>
      <c r="B23" s="33" t="s">
        <v>31</v>
      </c>
      <c r="C23" s="291" t="s">
        <v>35</v>
      </c>
      <c r="D23" s="291"/>
      <c r="E23" s="291"/>
      <c r="F23" s="291"/>
      <c r="G23" s="291"/>
      <c r="H23" s="291"/>
      <c r="I23" s="10"/>
      <c r="J23" s="10"/>
      <c r="K23" s="10"/>
      <c r="L23" s="10"/>
    </row>
    <row r="24" spans="1:12" s="11" customFormat="1">
      <c r="A24" s="12"/>
      <c r="B24" s="34" t="s">
        <v>32</v>
      </c>
      <c r="C24" s="35">
        <v>12</v>
      </c>
      <c r="D24" s="35">
        <v>24</v>
      </c>
      <c r="E24" s="35">
        <v>36</v>
      </c>
      <c r="F24" s="35">
        <v>48</v>
      </c>
      <c r="G24" s="35">
        <v>60</v>
      </c>
      <c r="H24" s="35">
        <v>72</v>
      </c>
      <c r="I24" s="10"/>
      <c r="J24" s="10"/>
      <c r="K24" s="10"/>
      <c r="L24" s="10"/>
    </row>
    <row r="25" spans="1:12" s="11" customFormat="1">
      <c r="A25" s="12"/>
      <c r="B25" s="16">
        <v>2016</v>
      </c>
      <c r="C25" s="17">
        <v>3272</v>
      </c>
      <c r="D25" s="17">
        <v>3548</v>
      </c>
      <c r="E25" s="17">
        <v>3546</v>
      </c>
      <c r="F25" s="17">
        <v>3733</v>
      </c>
      <c r="G25" s="17">
        <v>3726</v>
      </c>
      <c r="H25" s="17">
        <v>3735</v>
      </c>
      <c r="I25" s="10"/>
      <c r="J25" s="10"/>
      <c r="K25" s="10"/>
      <c r="L25" s="10"/>
    </row>
    <row r="26" spans="1:12" s="11" customFormat="1">
      <c r="A26" s="12"/>
      <c r="B26" s="16">
        <v>2017</v>
      </c>
      <c r="C26" s="17">
        <v>3275</v>
      </c>
      <c r="D26" s="17">
        <v>3513</v>
      </c>
      <c r="E26" s="17">
        <v>3608</v>
      </c>
      <c r="F26" s="17">
        <v>3693</v>
      </c>
      <c r="G26" s="17">
        <v>3722</v>
      </c>
      <c r="H26" s="16"/>
      <c r="I26" s="10"/>
      <c r="J26" s="10"/>
      <c r="K26" s="10"/>
      <c r="L26" s="10"/>
    </row>
    <row r="27" spans="1:12" s="11" customFormat="1">
      <c r="A27" s="12"/>
      <c r="B27" s="16">
        <v>2018</v>
      </c>
      <c r="C27" s="17">
        <v>3391</v>
      </c>
      <c r="D27" s="17">
        <v>3470</v>
      </c>
      <c r="E27" s="17">
        <v>3610</v>
      </c>
      <c r="F27" s="17">
        <v>3671</v>
      </c>
      <c r="G27" s="16"/>
      <c r="H27" s="16"/>
      <c r="I27" s="10"/>
      <c r="J27" s="10"/>
      <c r="K27" s="10"/>
      <c r="L27" s="10"/>
    </row>
    <row r="28" spans="1:12" s="11" customFormat="1">
      <c r="A28" s="12"/>
      <c r="B28" s="16">
        <v>2019</v>
      </c>
      <c r="C28" s="17">
        <v>3271</v>
      </c>
      <c r="D28" s="17">
        <v>3417</v>
      </c>
      <c r="E28" s="17">
        <v>3576</v>
      </c>
      <c r="F28" s="16"/>
      <c r="G28" s="16"/>
      <c r="H28" s="16"/>
      <c r="I28" s="10"/>
      <c r="J28" s="10"/>
      <c r="K28" s="10"/>
      <c r="L28" s="10"/>
    </row>
    <row r="29" spans="1:12" s="11" customFormat="1">
      <c r="A29" s="12"/>
      <c r="B29" s="16">
        <v>2020</v>
      </c>
      <c r="C29" s="17">
        <v>3344</v>
      </c>
      <c r="D29" s="17">
        <v>3477</v>
      </c>
      <c r="E29" s="16"/>
      <c r="F29" s="16"/>
      <c r="G29" s="16"/>
      <c r="H29" s="16"/>
      <c r="I29" s="10"/>
      <c r="J29" s="10"/>
      <c r="K29" s="10"/>
      <c r="L29" s="10"/>
    </row>
    <row r="30" spans="1:12" s="11" customFormat="1">
      <c r="A30" s="12"/>
      <c r="B30" s="16">
        <v>2021</v>
      </c>
      <c r="C30" s="17">
        <v>3290</v>
      </c>
      <c r="D30" s="16"/>
      <c r="E30" s="16"/>
      <c r="F30" s="16"/>
      <c r="G30" s="16"/>
      <c r="H30" s="16"/>
      <c r="I30" s="10"/>
      <c r="J30" s="10"/>
      <c r="K30" s="10"/>
      <c r="L30" s="10"/>
    </row>
    <row r="31" spans="1:12" s="11" customFormat="1">
      <c r="A31" s="12"/>
      <c r="B31" s="9"/>
      <c r="C31" s="9"/>
      <c r="D31" s="9"/>
      <c r="E31" s="9"/>
      <c r="F31" s="9"/>
      <c r="G31" s="9"/>
      <c r="H31" s="9"/>
      <c r="I31" s="10"/>
      <c r="J31" s="10"/>
      <c r="K31" s="10"/>
      <c r="L31" s="10"/>
    </row>
    <row r="32" spans="1:12" s="11" customFormat="1">
      <c r="A32" s="12"/>
      <c r="B32" s="33" t="s">
        <v>31</v>
      </c>
      <c r="C32" s="320" t="s">
        <v>125</v>
      </c>
      <c r="D32" s="291"/>
      <c r="E32" s="291"/>
      <c r="F32" s="291"/>
      <c r="G32" s="291"/>
      <c r="H32" s="291"/>
      <c r="I32" s="10"/>
      <c r="J32" s="10"/>
      <c r="K32" s="10"/>
      <c r="L32" s="10"/>
    </row>
    <row r="33" spans="1:12" s="11" customFormat="1">
      <c r="A33" s="12"/>
      <c r="B33" s="34" t="s">
        <v>32</v>
      </c>
      <c r="C33" s="46">
        <v>12</v>
      </c>
      <c r="D33" s="35">
        <v>24</v>
      </c>
      <c r="E33" s="35">
        <v>36</v>
      </c>
      <c r="F33" s="35">
        <v>48</v>
      </c>
      <c r="G33" s="35">
        <v>60</v>
      </c>
      <c r="H33" s="35">
        <v>72</v>
      </c>
      <c r="I33" s="10"/>
      <c r="J33" s="10"/>
      <c r="K33" s="10"/>
      <c r="L33" s="10"/>
    </row>
    <row r="34" spans="1:12">
      <c r="A34" s="12"/>
      <c r="B34" s="47">
        <v>2016</v>
      </c>
      <c r="C34" s="17">
        <v>1993</v>
      </c>
      <c r="D34" s="17">
        <v>2497</v>
      </c>
      <c r="E34" s="17">
        <v>2881</v>
      </c>
      <c r="F34" s="17">
        <v>2922</v>
      </c>
      <c r="G34" s="17">
        <v>3021</v>
      </c>
      <c r="H34" s="17">
        <v>3548</v>
      </c>
      <c r="I34" s="9"/>
      <c r="J34" s="9"/>
      <c r="K34" s="9"/>
      <c r="L34" s="9"/>
    </row>
    <row r="35" spans="1:12">
      <c r="A35" s="12"/>
      <c r="B35" s="16">
        <v>2017</v>
      </c>
      <c r="C35" s="17">
        <v>1879</v>
      </c>
      <c r="D35" s="17">
        <v>2456</v>
      </c>
      <c r="E35" s="17">
        <v>2726</v>
      </c>
      <c r="F35" s="17">
        <v>2921</v>
      </c>
      <c r="G35" s="17">
        <v>3414</v>
      </c>
      <c r="H35" s="16"/>
      <c r="I35" s="9"/>
      <c r="J35" s="9"/>
      <c r="K35" s="9"/>
      <c r="L35" s="9"/>
    </row>
    <row r="36" spans="1:12">
      <c r="A36" s="9"/>
      <c r="B36" s="16">
        <v>2018</v>
      </c>
      <c r="C36" s="17">
        <v>1801</v>
      </c>
      <c r="D36" s="17">
        <v>2425</v>
      </c>
      <c r="E36" s="17">
        <v>2796</v>
      </c>
      <c r="F36" s="17">
        <v>3307</v>
      </c>
      <c r="G36" s="16"/>
      <c r="H36" s="16"/>
      <c r="I36" s="9"/>
      <c r="J36" s="9"/>
      <c r="K36" s="9"/>
      <c r="L36" s="9"/>
    </row>
    <row r="37" spans="1:12">
      <c r="A37" s="9"/>
      <c r="B37" s="16">
        <v>2019</v>
      </c>
      <c r="C37" s="17">
        <v>1780</v>
      </c>
      <c r="D37" s="17">
        <v>2579</v>
      </c>
      <c r="E37" s="17">
        <v>3328</v>
      </c>
      <c r="F37" s="16"/>
      <c r="G37" s="16"/>
      <c r="H37" s="16"/>
      <c r="I37" s="9"/>
      <c r="J37" s="9"/>
      <c r="K37" s="9"/>
      <c r="L37" s="9"/>
    </row>
    <row r="38" spans="1:12">
      <c r="A38" s="9"/>
      <c r="B38" s="16">
        <v>2020</v>
      </c>
      <c r="C38" s="17">
        <v>1803</v>
      </c>
      <c r="D38" s="17">
        <v>2863</v>
      </c>
      <c r="E38" s="16"/>
      <c r="F38" s="16"/>
      <c r="G38" s="16"/>
      <c r="H38" s="16"/>
      <c r="I38" s="9"/>
      <c r="J38" s="9"/>
      <c r="K38" s="9"/>
      <c r="L38" s="9"/>
    </row>
    <row r="39" spans="1:12">
      <c r="A39" s="9"/>
      <c r="B39" s="16">
        <v>2021</v>
      </c>
      <c r="C39" s="17">
        <v>1968</v>
      </c>
      <c r="D39" s="16"/>
      <c r="E39" s="16"/>
      <c r="F39" s="16"/>
      <c r="G39" s="16"/>
      <c r="H39" s="16"/>
      <c r="I39" s="9"/>
      <c r="J39" s="9"/>
      <c r="K39" s="9"/>
      <c r="L39" s="9"/>
    </row>
    <row r="40" spans="1:12">
      <c r="A40" s="9"/>
      <c r="B40" s="9"/>
      <c r="C40" s="9"/>
      <c r="D40" s="9"/>
      <c r="E40" s="9"/>
      <c r="F40" s="9"/>
      <c r="G40" s="9"/>
      <c r="H40" s="9"/>
      <c r="I40" s="9"/>
      <c r="J40" s="9"/>
      <c r="K40" s="9"/>
      <c r="L40" s="9"/>
    </row>
    <row r="41" spans="1:12">
      <c r="A41" s="9"/>
      <c r="B41" s="33" t="s">
        <v>31</v>
      </c>
      <c r="C41" s="321" t="s">
        <v>126</v>
      </c>
      <c r="D41" s="322"/>
      <c r="E41" s="9"/>
      <c r="F41" s="9"/>
      <c r="G41" s="9"/>
      <c r="H41" s="9"/>
      <c r="I41" s="9"/>
      <c r="J41" s="9"/>
      <c r="K41" s="9"/>
      <c r="L41" s="9"/>
    </row>
    <row r="42" spans="1:12">
      <c r="A42" s="9"/>
      <c r="B42" s="34" t="s">
        <v>32</v>
      </c>
      <c r="C42" s="318" t="s">
        <v>127</v>
      </c>
      <c r="D42" s="319"/>
      <c r="E42" s="9"/>
      <c r="F42" s="9"/>
      <c r="G42" s="9"/>
      <c r="H42" s="9"/>
      <c r="I42" s="9"/>
      <c r="J42" s="9"/>
      <c r="K42" s="9"/>
      <c r="L42" s="9"/>
    </row>
    <row r="43" spans="1:12">
      <c r="A43" s="9"/>
      <c r="B43" s="16">
        <v>2016</v>
      </c>
      <c r="C43" s="309">
        <v>3735</v>
      </c>
      <c r="D43" s="309"/>
      <c r="E43" s="9"/>
      <c r="F43" s="9"/>
      <c r="G43" s="9"/>
      <c r="H43" s="9"/>
      <c r="I43" s="9"/>
      <c r="J43" s="9"/>
      <c r="K43" s="9"/>
      <c r="L43" s="9"/>
    </row>
    <row r="44" spans="1:12">
      <c r="A44" s="9"/>
      <c r="B44" s="16">
        <v>2017</v>
      </c>
      <c r="C44" s="309">
        <v>3731</v>
      </c>
      <c r="D44" s="309"/>
      <c r="E44" s="9"/>
      <c r="F44" s="9"/>
      <c r="G44" s="9"/>
      <c r="H44" s="9"/>
      <c r="I44" s="9"/>
      <c r="J44" s="9"/>
      <c r="K44" s="9"/>
      <c r="L44" s="9"/>
    </row>
    <row r="45" spans="1:12">
      <c r="A45" s="9"/>
      <c r="B45" s="16">
        <v>2018</v>
      </c>
      <c r="C45" s="309">
        <v>3691</v>
      </c>
      <c r="D45" s="309"/>
      <c r="E45" s="9"/>
      <c r="F45" s="9"/>
      <c r="G45" s="9"/>
      <c r="H45" s="9"/>
      <c r="I45" s="9"/>
      <c r="J45" s="9"/>
      <c r="K45" s="9"/>
      <c r="L45" s="9"/>
    </row>
    <row r="46" spans="1:12">
      <c r="A46" s="9"/>
      <c r="B46" s="16">
        <v>2019</v>
      </c>
      <c r="C46" s="309">
        <v>3707</v>
      </c>
      <c r="D46" s="309"/>
      <c r="E46" s="9"/>
      <c r="F46" s="9"/>
      <c r="G46" s="9"/>
      <c r="H46" s="9"/>
      <c r="I46" s="9"/>
      <c r="J46" s="9"/>
      <c r="K46" s="9"/>
      <c r="L46" s="9"/>
    </row>
    <row r="47" spans="1:12">
      <c r="A47" s="9"/>
      <c r="B47" s="16">
        <v>2020</v>
      </c>
      <c r="C47" s="309">
        <v>3707</v>
      </c>
      <c r="D47" s="309"/>
      <c r="E47" s="9"/>
      <c r="F47" s="9"/>
      <c r="G47" s="9"/>
      <c r="H47" s="9"/>
      <c r="I47" s="9"/>
      <c r="J47" s="9"/>
      <c r="K47" s="9"/>
      <c r="L47" s="9"/>
    </row>
    <row r="48" spans="1:12">
      <c r="A48" s="9"/>
      <c r="B48" s="16">
        <v>2021</v>
      </c>
      <c r="C48" s="309">
        <v>3693</v>
      </c>
      <c r="D48" s="309"/>
      <c r="E48" s="9"/>
      <c r="F48" s="9"/>
      <c r="G48" s="9"/>
      <c r="H48" s="9"/>
      <c r="I48" s="9"/>
      <c r="J48" s="9"/>
      <c r="K48" s="9"/>
      <c r="L48" s="9"/>
    </row>
    <row r="49" spans="1:18">
      <c r="A49" s="9"/>
      <c r="B49" s="9"/>
      <c r="C49" s="9"/>
      <c r="D49" s="9"/>
      <c r="E49" s="9"/>
      <c r="F49" s="9"/>
      <c r="G49" s="9"/>
      <c r="H49" s="9"/>
      <c r="I49" s="9"/>
      <c r="J49" s="9"/>
      <c r="K49" s="9"/>
      <c r="L49" s="9"/>
    </row>
    <row r="50" spans="1:18">
      <c r="A50" s="9"/>
      <c r="B50" s="32" t="s">
        <v>252</v>
      </c>
      <c r="C50" s="9"/>
      <c r="D50" s="9"/>
      <c r="E50" s="9"/>
      <c r="F50" s="9"/>
      <c r="G50" s="9"/>
      <c r="H50" s="9"/>
      <c r="I50" s="9"/>
      <c r="J50" s="9"/>
      <c r="K50" s="9"/>
      <c r="L50" s="9"/>
    </row>
    <row r="51" spans="1:18">
      <c r="A51" s="9"/>
      <c r="B51" s="9" t="s">
        <v>251</v>
      </c>
      <c r="C51" s="9"/>
      <c r="D51" s="9"/>
      <c r="E51" s="48">
        <v>0.05</v>
      </c>
      <c r="F51" s="9"/>
      <c r="G51" s="9"/>
      <c r="H51" s="9"/>
      <c r="I51" s="9"/>
      <c r="J51" s="9"/>
      <c r="K51" s="9"/>
      <c r="L51" s="9"/>
    </row>
    <row r="52" spans="1:18">
      <c r="A52" s="9"/>
      <c r="B52" s="9"/>
      <c r="C52" s="9"/>
      <c r="D52" s="9"/>
      <c r="E52" s="9"/>
      <c r="F52" s="9"/>
      <c r="G52" s="9"/>
      <c r="H52" s="9"/>
      <c r="I52" s="9"/>
      <c r="J52" s="9"/>
      <c r="K52" s="9"/>
      <c r="L52" s="9"/>
    </row>
    <row r="53" spans="1:18">
      <c r="A53" s="9" t="s">
        <v>128</v>
      </c>
      <c r="B53" s="9"/>
      <c r="C53" s="9"/>
      <c r="D53" s="9"/>
      <c r="E53" s="9"/>
      <c r="F53" s="9"/>
      <c r="G53" s="9"/>
      <c r="H53" s="9"/>
      <c r="I53" s="9"/>
      <c r="J53" s="9"/>
      <c r="K53" s="9"/>
      <c r="L53" s="9"/>
    </row>
    <row r="54" spans="1:18">
      <c r="A54" s="9"/>
      <c r="B54" s="9"/>
      <c r="C54" s="9"/>
      <c r="D54" s="9"/>
      <c r="E54" s="9"/>
      <c r="F54" s="9"/>
      <c r="G54" s="9"/>
      <c r="H54" s="9"/>
      <c r="I54" s="9"/>
      <c r="J54" s="9"/>
      <c r="K54" s="9"/>
      <c r="L54" s="9"/>
    </row>
    <row r="56" spans="1:18">
      <c r="A56" s="6" t="s">
        <v>4</v>
      </c>
      <c r="B56" s="9" t="s">
        <v>129</v>
      </c>
      <c r="C56" s="4"/>
      <c r="D56" s="4"/>
      <c r="E56" s="4"/>
      <c r="F56" s="4"/>
      <c r="G56" s="4"/>
      <c r="H56" s="4"/>
      <c r="I56" s="4"/>
      <c r="J56" s="4"/>
      <c r="K56" s="4"/>
      <c r="L56" s="4"/>
      <c r="M56" s="8"/>
      <c r="N56" s="8"/>
      <c r="O56" s="8"/>
      <c r="P56" s="8"/>
      <c r="Q56" s="8"/>
      <c r="R56" s="8"/>
    </row>
    <row r="57" spans="1:18">
      <c r="A57" s="3"/>
      <c r="B57" s="3"/>
      <c r="C57" s="3"/>
      <c r="D57" s="3"/>
      <c r="E57" s="3"/>
      <c r="F57" s="3"/>
      <c r="G57" s="4"/>
      <c r="H57" s="4"/>
      <c r="I57" s="4"/>
      <c r="J57" s="4"/>
      <c r="K57" s="4"/>
      <c r="L57" s="4"/>
    </row>
    <row r="58" spans="1:18">
      <c r="A58" s="7"/>
      <c r="B58" s="7"/>
      <c r="C58" s="7"/>
      <c r="D58" s="7"/>
      <c r="E58" s="7"/>
      <c r="F58" s="7"/>
      <c r="G58" s="7"/>
      <c r="H58" s="7"/>
      <c r="I58" s="7"/>
      <c r="J58" s="7"/>
      <c r="K58" s="7"/>
      <c r="L58" s="7"/>
      <c r="M58" s="7"/>
    </row>
    <row r="59" spans="1:18">
      <c r="A59" s="7" t="s">
        <v>1</v>
      </c>
      <c r="B59" s="7"/>
      <c r="C59" s="7"/>
      <c r="D59" s="7"/>
      <c r="E59" s="7"/>
      <c r="F59" s="7"/>
      <c r="G59" s="7"/>
      <c r="H59" s="7"/>
      <c r="I59" s="7"/>
      <c r="J59" s="7"/>
      <c r="K59" s="7"/>
      <c r="L59" s="7"/>
      <c r="M59" s="7"/>
      <c r="N59" s="8"/>
    </row>
    <row r="60" spans="1:18">
      <c r="A60" s="7"/>
      <c r="B60" s="7"/>
      <c r="C60" s="7"/>
      <c r="D60" s="7"/>
      <c r="E60" s="7"/>
      <c r="F60" s="7"/>
      <c r="G60" s="7"/>
      <c r="H60" s="7"/>
      <c r="I60" s="7"/>
      <c r="J60" s="7"/>
      <c r="K60" s="7"/>
      <c r="L60" s="7"/>
      <c r="M60" s="7"/>
      <c r="N60" s="8"/>
    </row>
    <row r="61" spans="1:18" ht="15.6" customHeight="1">
      <c r="A61" s="7"/>
      <c r="B61" s="162" t="s">
        <v>407</v>
      </c>
      <c r="C61" s="162"/>
      <c r="D61" s="162"/>
      <c r="E61" s="162"/>
      <c r="F61" s="162"/>
      <c r="G61" s="162"/>
      <c r="H61" s="162"/>
      <c r="I61" s="162"/>
      <c r="J61" s="93"/>
      <c r="K61" s="93"/>
      <c r="L61" s="7"/>
      <c r="M61" s="7"/>
      <c r="N61" s="8"/>
    </row>
    <row r="62" spans="1:18">
      <c r="A62" s="7"/>
      <c r="B62" s="162"/>
      <c r="C62" s="162"/>
      <c r="D62" s="162"/>
      <c r="E62" s="162"/>
      <c r="F62" s="162"/>
      <c r="G62" s="162"/>
      <c r="H62" s="162"/>
      <c r="I62" s="162"/>
      <c r="J62" s="93"/>
      <c r="K62" s="93"/>
      <c r="L62" s="7"/>
      <c r="M62" s="7"/>
      <c r="N62" s="8"/>
    </row>
    <row r="63" spans="1:18">
      <c r="A63" s="7"/>
      <c r="B63" s="171" t="s">
        <v>31</v>
      </c>
      <c r="C63" s="317" t="s">
        <v>405</v>
      </c>
      <c r="D63" s="317"/>
      <c r="E63" s="317"/>
      <c r="F63" s="317"/>
      <c r="G63" s="317"/>
      <c r="H63" s="317"/>
      <c r="I63" s="93"/>
      <c r="J63" s="93"/>
      <c r="K63" s="93"/>
      <c r="L63" s="7"/>
      <c r="M63" s="7"/>
      <c r="N63" s="8"/>
    </row>
    <row r="64" spans="1:18">
      <c r="A64" s="7"/>
      <c r="B64" s="128" t="s">
        <v>32</v>
      </c>
      <c r="C64" s="128">
        <v>12</v>
      </c>
      <c r="D64" s="128">
        <v>24</v>
      </c>
      <c r="E64" s="128">
        <v>36</v>
      </c>
      <c r="F64" s="128">
        <v>48</v>
      </c>
      <c r="G64" s="128">
        <v>60</v>
      </c>
      <c r="H64" s="128">
        <v>72</v>
      </c>
      <c r="I64" s="93"/>
      <c r="J64" s="93"/>
      <c r="K64" s="93"/>
      <c r="L64" s="7"/>
      <c r="M64" s="7"/>
      <c r="N64" s="8"/>
    </row>
    <row r="65" spans="1:14">
      <c r="A65" s="7"/>
      <c r="B65" s="171">
        <v>2016</v>
      </c>
      <c r="C65" s="172">
        <f>(C7-C16)/(C25-C34)</f>
        <v>15947.670054730257</v>
      </c>
      <c r="D65" s="172">
        <f t="shared" ref="D65:H65" si="0">(D7-D16)/(D25-D34)</f>
        <v>18451.217887725976</v>
      </c>
      <c r="E65" s="172">
        <f t="shared" si="0"/>
        <v>23047.097744360901</v>
      </c>
      <c r="F65" s="172">
        <f t="shared" si="0"/>
        <v>26125.635018495683</v>
      </c>
      <c r="G65" s="172">
        <f t="shared" si="0"/>
        <v>27935.773049645391</v>
      </c>
      <c r="H65" s="172">
        <f t="shared" si="0"/>
        <v>32733.315508021391</v>
      </c>
      <c r="I65" s="93"/>
      <c r="J65" s="93"/>
      <c r="K65" s="93"/>
      <c r="L65" s="7"/>
      <c r="M65" s="7"/>
      <c r="N65" s="8"/>
    </row>
    <row r="66" spans="1:14">
      <c r="A66" s="7"/>
      <c r="B66" s="171">
        <v>2017</v>
      </c>
      <c r="C66" s="172">
        <f t="shared" ref="C66:G66" si="1">(C8-C17)/(C26-C35)</f>
        <v>16881.239255014327</v>
      </c>
      <c r="D66" s="172">
        <f t="shared" si="1"/>
        <v>19537.407757805107</v>
      </c>
      <c r="E66" s="172">
        <f t="shared" si="1"/>
        <v>24086.723356009072</v>
      </c>
      <c r="F66" s="172">
        <f t="shared" si="1"/>
        <v>27664.19689119171</v>
      </c>
      <c r="G66" s="172">
        <f t="shared" si="1"/>
        <v>32428.538961038961</v>
      </c>
      <c r="H66" s="172"/>
      <c r="I66" s="93"/>
      <c r="J66" s="93"/>
      <c r="K66" s="93"/>
      <c r="L66" s="7"/>
      <c r="M66" s="7"/>
      <c r="N66" s="8"/>
    </row>
    <row r="67" spans="1:14">
      <c r="A67" s="7"/>
      <c r="B67" s="171">
        <v>2018</v>
      </c>
      <c r="C67" s="172">
        <f t="shared" ref="C67:F67" si="2">(C9-C18)/(C27-C36)</f>
        <v>17815.716981132075</v>
      </c>
      <c r="D67" s="172">
        <f t="shared" si="2"/>
        <v>20541.119617224882</v>
      </c>
      <c r="E67" s="172">
        <f t="shared" si="2"/>
        <v>25485.724815724814</v>
      </c>
      <c r="F67" s="172">
        <f t="shared" si="2"/>
        <v>32125.027472527472</v>
      </c>
      <c r="G67" s="172"/>
      <c r="H67" s="172"/>
      <c r="I67" s="93"/>
      <c r="J67" s="93"/>
      <c r="K67" s="93"/>
      <c r="L67" s="7"/>
      <c r="M67" s="7"/>
      <c r="N67" s="8"/>
    </row>
    <row r="68" spans="1:14">
      <c r="A68" s="7"/>
      <c r="B68" s="171">
        <v>2019</v>
      </c>
      <c r="C68" s="172">
        <f t="shared" ref="C68:E68" si="3">(C10-C19)/(C28-C37)</f>
        <v>18880.603621730381</v>
      </c>
      <c r="D68" s="172">
        <f t="shared" si="3"/>
        <v>21761.193317422436</v>
      </c>
      <c r="E68" s="172">
        <f t="shared" si="3"/>
        <v>29338.669354838708</v>
      </c>
      <c r="F68" s="172"/>
      <c r="G68" s="172"/>
      <c r="H68" s="172"/>
      <c r="I68" s="93"/>
      <c r="J68" s="93"/>
      <c r="K68" s="93"/>
      <c r="L68" s="7"/>
      <c r="M68" s="7"/>
      <c r="N68" s="8"/>
    </row>
    <row r="69" spans="1:14">
      <c r="A69" s="7"/>
      <c r="B69" s="171">
        <v>2020</v>
      </c>
      <c r="C69" s="172">
        <f t="shared" ref="C69:D69" si="4">(C11-C20)/(C29-C38)</f>
        <v>19690.240103828684</v>
      </c>
      <c r="D69" s="172">
        <f t="shared" si="4"/>
        <v>25184.592833876221</v>
      </c>
      <c r="E69" s="172"/>
      <c r="F69" s="172"/>
      <c r="G69" s="172"/>
      <c r="H69" s="172"/>
      <c r="I69" s="93"/>
      <c r="J69" s="93"/>
      <c r="K69" s="93"/>
      <c r="L69" s="7"/>
      <c r="M69" s="7"/>
      <c r="N69" s="8"/>
    </row>
    <row r="70" spans="1:14">
      <c r="A70" s="7"/>
      <c r="B70" s="171">
        <v>2021</v>
      </c>
      <c r="C70" s="172">
        <f t="shared" ref="C70" si="5">(C12-C21)/(C30-C39)</f>
        <v>22360.438729198184</v>
      </c>
      <c r="D70" s="172"/>
      <c r="E70" s="172"/>
      <c r="F70" s="172"/>
      <c r="G70" s="172"/>
      <c r="H70" s="172"/>
      <c r="I70" s="93"/>
      <c r="J70" s="93"/>
      <c r="K70" s="93"/>
      <c r="L70" s="7"/>
      <c r="M70" s="7"/>
      <c r="N70" s="8"/>
    </row>
    <row r="71" spans="1:14">
      <c r="A71" s="7"/>
      <c r="B71" s="93"/>
      <c r="C71" s="93"/>
      <c r="D71" s="93"/>
      <c r="E71" s="93"/>
      <c r="F71" s="93"/>
      <c r="G71" s="93"/>
      <c r="H71" s="93"/>
      <c r="I71" s="93"/>
      <c r="J71" s="93"/>
      <c r="K71" s="93"/>
      <c r="L71" s="7"/>
      <c r="M71" s="7"/>
      <c r="N71" s="8"/>
    </row>
    <row r="72" spans="1:14">
      <c r="A72" s="7"/>
      <c r="B72" s="171" t="s">
        <v>31</v>
      </c>
      <c r="C72" s="317" t="s">
        <v>408</v>
      </c>
      <c r="D72" s="294"/>
      <c r="E72" s="294"/>
      <c r="F72" s="294"/>
      <c r="G72" s="294"/>
      <c r="H72" s="93"/>
      <c r="I72" s="93"/>
      <c r="J72" s="93"/>
      <c r="K72" s="93"/>
      <c r="L72" s="7"/>
      <c r="M72" s="7"/>
      <c r="N72" s="8"/>
    </row>
    <row r="73" spans="1:14">
      <c r="A73" s="7"/>
      <c r="B73" s="128" t="s">
        <v>32</v>
      </c>
      <c r="C73" s="128">
        <f>C64</f>
        <v>12</v>
      </c>
      <c r="D73" s="128">
        <f t="shared" ref="D73:G73" si="6">D64</f>
        <v>24</v>
      </c>
      <c r="E73" s="128">
        <f t="shared" si="6"/>
        <v>36</v>
      </c>
      <c r="F73" s="128">
        <f t="shared" si="6"/>
        <v>48</v>
      </c>
      <c r="G73" s="128">
        <f t="shared" si="6"/>
        <v>60</v>
      </c>
      <c r="H73" s="93"/>
      <c r="I73" s="93"/>
      <c r="J73" s="93"/>
      <c r="K73" s="93"/>
      <c r="L73" s="7"/>
      <c r="M73" s="7"/>
      <c r="N73" s="8"/>
    </row>
    <row r="74" spans="1:14">
      <c r="A74" s="7"/>
      <c r="B74" s="171" t="str">
        <f>B65&amp;"-"&amp;B66</f>
        <v>2016-2017</v>
      </c>
      <c r="C74" s="133">
        <f>C66/C65-1</f>
        <v>5.8539535686416011E-2</v>
      </c>
      <c r="D74" s="133">
        <f t="shared" ref="D74:G74" si="7">D66/D65-1</f>
        <v>5.8868193779321176E-2</v>
      </c>
      <c r="E74" s="133">
        <f t="shared" si="7"/>
        <v>4.5108743112895588E-2</v>
      </c>
      <c r="F74" s="133">
        <f t="shared" si="7"/>
        <v>5.889088902936912E-2</v>
      </c>
      <c r="G74" s="133">
        <f t="shared" si="7"/>
        <v>0.16082482855975955</v>
      </c>
      <c r="H74" s="93"/>
      <c r="I74" s="93"/>
      <c r="J74" s="93"/>
      <c r="K74" s="93"/>
      <c r="L74" s="7"/>
      <c r="M74" s="7"/>
      <c r="N74" s="8"/>
    </row>
    <row r="75" spans="1:14">
      <c r="A75" s="7"/>
      <c r="B75" s="171" t="str">
        <f t="shared" ref="B75:B78" si="8">B66&amp;"-"&amp;B67</f>
        <v>2017-2018</v>
      </c>
      <c r="C75" s="133">
        <f t="shared" ref="C75:F78" si="9">C67/C66-1</f>
        <v>5.5355990872540728E-2</v>
      </c>
      <c r="D75" s="133">
        <f t="shared" si="9"/>
        <v>5.1373850198668025E-2</v>
      </c>
      <c r="E75" s="133">
        <f t="shared" si="9"/>
        <v>5.8081850280674363E-2</v>
      </c>
      <c r="F75" s="133">
        <f t="shared" si="9"/>
        <v>0.16124923484607256</v>
      </c>
      <c r="G75" s="133"/>
      <c r="H75" s="93"/>
      <c r="I75" s="93"/>
      <c r="J75" s="93"/>
      <c r="K75" s="93"/>
      <c r="L75" s="7"/>
      <c r="M75" s="7"/>
      <c r="N75" s="8"/>
    </row>
    <row r="76" spans="1:14">
      <c r="B76" s="171" t="str">
        <f t="shared" si="8"/>
        <v>2018-2019</v>
      </c>
      <c r="C76" s="133">
        <f t="shared" si="9"/>
        <v>5.9772314621190148E-2</v>
      </c>
      <c r="D76" s="133">
        <f t="shared" si="9"/>
        <v>5.939665037413322E-2</v>
      </c>
      <c r="E76" s="133">
        <f t="shared" si="9"/>
        <v>0.15118049680645562</v>
      </c>
      <c r="F76" s="133"/>
      <c r="G76" s="133"/>
      <c r="H76" s="93"/>
      <c r="I76" s="93"/>
      <c r="J76" s="93"/>
      <c r="K76" s="93"/>
      <c r="M76" s="8"/>
      <c r="N76" s="8"/>
    </row>
    <row r="77" spans="1:14">
      <c r="B77" s="171" t="str">
        <f t="shared" si="8"/>
        <v>2019-2020</v>
      </c>
      <c r="C77" s="133">
        <f t="shared" si="9"/>
        <v>4.2881917247945545E-2</v>
      </c>
      <c r="D77" s="133">
        <f t="shared" si="9"/>
        <v>0.15731671818350801</v>
      </c>
      <c r="E77" s="133"/>
      <c r="F77" s="133"/>
      <c r="G77" s="133"/>
      <c r="H77" s="93"/>
      <c r="I77" s="93"/>
      <c r="J77" s="93"/>
      <c r="K77" s="93"/>
      <c r="M77" s="8"/>
      <c r="N77" s="8"/>
    </row>
    <row r="78" spans="1:14">
      <c r="B78" s="171" t="str">
        <f t="shared" si="8"/>
        <v>2020-2021</v>
      </c>
      <c r="C78" s="133">
        <f t="shared" si="9"/>
        <v>0.13561026230707518</v>
      </c>
      <c r="D78" s="133"/>
      <c r="E78" s="133"/>
      <c r="F78" s="133"/>
      <c r="G78" s="133"/>
      <c r="H78" s="93"/>
      <c r="I78" s="93"/>
      <c r="J78" s="93"/>
      <c r="K78" s="93"/>
      <c r="M78" s="8"/>
      <c r="N78" s="8"/>
    </row>
    <row r="79" spans="1:14">
      <c r="C79" s="209"/>
      <c r="D79" s="209"/>
      <c r="E79" s="209"/>
      <c r="F79" s="209"/>
      <c r="G79" s="209"/>
      <c r="H79" s="93"/>
      <c r="I79" s="93"/>
      <c r="J79" s="93"/>
      <c r="K79" s="93"/>
      <c r="M79" s="8"/>
      <c r="N79" s="8"/>
    </row>
    <row r="80" spans="1:14">
      <c r="B80" s="197" t="s">
        <v>406</v>
      </c>
      <c r="C80" s="93"/>
      <c r="D80" s="93"/>
      <c r="E80" s="93"/>
      <c r="F80" s="93"/>
      <c r="G80" s="93"/>
      <c r="H80" s="93"/>
      <c r="I80" s="93"/>
      <c r="J80" s="93"/>
      <c r="K80" s="93"/>
      <c r="M80" s="8"/>
      <c r="N80" s="8"/>
    </row>
    <row r="82" spans="1:13">
      <c r="A82" s="6" t="s">
        <v>5</v>
      </c>
      <c r="B82" s="293" t="s">
        <v>130</v>
      </c>
      <c r="C82" s="293"/>
      <c r="D82" s="293"/>
      <c r="E82" s="293"/>
      <c r="F82" s="293"/>
      <c r="G82" s="293"/>
      <c r="H82" s="293"/>
      <c r="I82" s="293"/>
      <c r="J82" s="293"/>
      <c r="K82" s="293"/>
      <c r="L82" s="4"/>
    </row>
    <row r="83" spans="1:13">
      <c r="A83" s="6"/>
      <c r="B83" s="293"/>
      <c r="C83" s="293"/>
      <c r="D83" s="293"/>
      <c r="E83" s="293"/>
      <c r="F83" s="293"/>
      <c r="G83" s="293"/>
      <c r="H83" s="293"/>
      <c r="I83" s="293"/>
      <c r="J83" s="293"/>
      <c r="K83" s="293"/>
      <c r="L83" s="4"/>
    </row>
    <row r="84" spans="1:13">
      <c r="A84" s="3"/>
      <c r="B84" s="3"/>
      <c r="C84" s="3"/>
      <c r="D84" s="3"/>
      <c r="E84" s="3"/>
      <c r="F84" s="3"/>
      <c r="G84" s="4"/>
      <c r="H84" s="4"/>
      <c r="I84" s="4"/>
      <c r="J84" s="4"/>
      <c r="K84" s="4"/>
      <c r="L84" s="4"/>
    </row>
    <row r="85" spans="1:13">
      <c r="A85" s="7"/>
      <c r="B85" s="7"/>
      <c r="C85" s="7"/>
      <c r="D85" s="7"/>
      <c r="E85" s="7"/>
      <c r="F85" s="7"/>
      <c r="G85" s="7"/>
      <c r="H85" s="7"/>
      <c r="I85" s="7"/>
      <c r="J85" s="7"/>
      <c r="K85" s="7"/>
      <c r="L85" s="7"/>
    </row>
    <row r="86" spans="1:13">
      <c r="A86" s="7" t="s">
        <v>1</v>
      </c>
      <c r="B86" s="7"/>
      <c r="C86" s="7"/>
      <c r="D86" s="7"/>
      <c r="E86" s="7"/>
      <c r="F86" s="7"/>
      <c r="G86" s="7"/>
      <c r="H86" s="7"/>
      <c r="I86" s="7"/>
      <c r="J86" s="7"/>
      <c r="K86" s="7"/>
      <c r="L86" s="7"/>
    </row>
    <row r="87" spans="1:13">
      <c r="A87" s="7"/>
      <c r="B87" s="144" t="s">
        <v>409</v>
      </c>
      <c r="C87" s="7"/>
      <c r="D87" s="7"/>
      <c r="E87" s="7"/>
      <c r="F87" s="7"/>
      <c r="G87" s="7"/>
      <c r="H87" s="7"/>
      <c r="I87" s="7"/>
      <c r="J87" s="7"/>
      <c r="K87" s="7"/>
      <c r="L87" s="7"/>
    </row>
    <row r="88" spans="1:13">
      <c r="A88" s="7"/>
      <c r="C88" s="144" t="s">
        <v>410</v>
      </c>
      <c r="D88" s="7"/>
      <c r="E88" s="7"/>
      <c r="F88" s="7"/>
      <c r="G88" s="7"/>
      <c r="H88" s="7"/>
      <c r="I88" s="7"/>
      <c r="J88" s="7"/>
      <c r="K88" s="7"/>
      <c r="L88" s="7"/>
    </row>
    <row r="89" spans="1:13">
      <c r="C89" s="144" t="s">
        <v>411</v>
      </c>
      <c r="M89" s="7"/>
    </row>
    <row r="90" spans="1:13">
      <c r="C90" s="144" t="s">
        <v>412</v>
      </c>
      <c r="M90" s="7"/>
    </row>
    <row r="92" spans="1:13">
      <c r="A92" s="9"/>
      <c r="B92" s="9"/>
      <c r="C92" s="9"/>
      <c r="D92" s="9"/>
      <c r="E92" s="9"/>
      <c r="F92" s="9"/>
      <c r="G92" s="9"/>
      <c r="H92" s="9"/>
      <c r="I92" s="9"/>
      <c r="J92" s="9"/>
      <c r="K92" s="9"/>
      <c r="L92" s="9"/>
    </row>
    <row r="93" spans="1:13">
      <c r="A93" s="9" t="s">
        <v>131</v>
      </c>
      <c r="B93" s="9"/>
      <c r="C93" s="9"/>
      <c r="D93" s="9"/>
      <c r="E93" s="9"/>
      <c r="F93" s="9"/>
      <c r="G93" s="9"/>
      <c r="H93" s="9"/>
      <c r="I93" s="9"/>
      <c r="J93" s="9"/>
      <c r="K93" s="9"/>
      <c r="L93" s="9"/>
    </row>
    <row r="94" spans="1:13">
      <c r="A94" s="9"/>
      <c r="B94" s="9"/>
      <c r="C94" s="9"/>
      <c r="D94" s="9"/>
      <c r="E94" s="9"/>
      <c r="F94" s="9"/>
      <c r="G94" s="9"/>
      <c r="H94" s="9"/>
      <c r="I94" s="9"/>
      <c r="J94" s="9"/>
      <c r="K94" s="9"/>
      <c r="L94" s="9"/>
    </row>
    <row r="96" spans="1:13">
      <c r="A96" s="6" t="s">
        <v>0</v>
      </c>
      <c r="B96" s="9" t="s">
        <v>132</v>
      </c>
      <c r="C96" s="4"/>
      <c r="D96" s="4"/>
      <c r="E96" s="4"/>
      <c r="F96" s="4"/>
      <c r="G96" s="4"/>
      <c r="H96" s="4"/>
      <c r="I96" s="4"/>
      <c r="J96" s="4"/>
      <c r="K96" s="4"/>
      <c r="L96" s="4"/>
    </row>
    <row r="97" spans="1:12">
      <c r="A97" s="3"/>
      <c r="B97" s="3"/>
      <c r="C97" s="3"/>
      <c r="D97" s="3"/>
      <c r="E97" s="3"/>
      <c r="F97" s="3"/>
      <c r="G97" s="4"/>
      <c r="H97" s="4"/>
      <c r="I97" s="4"/>
      <c r="J97" s="4"/>
      <c r="K97" s="4"/>
      <c r="L97" s="4"/>
    </row>
    <row r="98" spans="1:12">
      <c r="A98" s="7"/>
      <c r="B98" s="7"/>
      <c r="C98" s="7"/>
      <c r="D98" s="7"/>
      <c r="E98" s="7"/>
      <c r="F98" s="7"/>
      <c r="G98" s="7"/>
      <c r="H98" s="7"/>
      <c r="I98" s="7"/>
      <c r="J98" s="7"/>
      <c r="K98" s="7"/>
      <c r="L98" s="7"/>
    </row>
    <row r="99" spans="1:12">
      <c r="A99" s="7" t="s">
        <v>1</v>
      </c>
      <c r="B99" s="7"/>
      <c r="C99" s="7"/>
      <c r="D99" s="7"/>
      <c r="E99" s="7"/>
      <c r="F99" s="7"/>
      <c r="G99" s="7"/>
      <c r="H99" s="7"/>
      <c r="I99" s="7"/>
      <c r="J99" s="7"/>
      <c r="K99" s="7"/>
      <c r="L99" s="7"/>
    </row>
    <row r="100" spans="1:12">
      <c r="A100" s="7"/>
      <c r="B100" s="93" t="s">
        <v>413</v>
      </c>
      <c r="C100" s="93"/>
      <c r="D100" s="93"/>
      <c r="E100" s="93"/>
      <c r="F100" s="93"/>
      <c r="G100" s="93"/>
      <c r="H100" s="93"/>
      <c r="I100" s="7"/>
      <c r="J100" s="7"/>
      <c r="K100" s="7"/>
      <c r="L100" s="7"/>
    </row>
    <row r="101" spans="1:12">
      <c r="A101" s="7"/>
      <c r="B101" s="93"/>
      <c r="C101" s="93"/>
      <c r="D101" s="93"/>
      <c r="E101" s="93"/>
      <c r="F101" s="93"/>
      <c r="G101" s="93"/>
      <c r="H101" s="93"/>
      <c r="I101" s="7"/>
      <c r="J101" s="7"/>
      <c r="K101" s="7"/>
      <c r="L101" s="7"/>
    </row>
    <row r="102" spans="1:12">
      <c r="A102" s="7"/>
      <c r="B102" s="171" t="s">
        <v>31</v>
      </c>
      <c r="C102" s="317" t="s">
        <v>414</v>
      </c>
      <c r="D102" s="317"/>
      <c r="E102" s="317"/>
      <c r="F102" s="317"/>
      <c r="G102" s="317"/>
      <c r="H102" s="317"/>
      <c r="I102" s="7"/>
      <c r="J102" s="7"/>
      <c r="K102" s="7"/>
      <c r="L102" s="7"/>
    </row>
    <row r="103" spans="1:12">
      <c r="B103" s="128" t="s">
        <v>32</v>
      </c>
      <c r="C103" s="128">
        <v>12</v>
      </c>
      <c r="D103" s="128">
        <v>24</v>
      </c>
      <c r="E103" s="128">
        <v>36</v>
      </c>
      <c r="F103" s="128">
        <v>48</v>
      </c>
      <c r="G103" s="128">
        <v>60</v>
      </c>
      <c r="H103" s="128">
        <v>72</v>
      </c>
    </row>
    <row r="104" spans="1:12">
      <c r="B104" s="171">
        <v>2016</v>
      </c>
      <c r="C104" s="211">
        <f>C34/$C43</f>
        <v>0.53360107095046849</v>
      </c>
      <c r="D104" s="211">
        <f t="shared" ref="D104:H104" si="10">D34/$C43</f>
        <v>0.66854082998661313</v>
      </c>
      <c r="E104" s="211">
        <f t="shared" si="10"/>
        <v>0.7713520749665328</v>
      </c>
      <c r="F104" s="211">
        <f t="shared" si="10"/>
        <v>0.78232931726907629</v>
      </c>
      <c r="G104" s="211">
        <f t="shared" si="10"/>
        <v>0.80883534136546187</v>
      </c>
      <c r="H104" s="211">
        <f t="shared" si="10"/>
        <v>0.94993306559571622</v>
      </c>
    </row>
    <row r="105" spans="1:12">
      <c r="B105" s="171">
        <v>2017</v>
      </c>
      <c r="C105" s="211">
        <f t="shared" ref="C105:G105" si="11">C35/$C44</f>
        <v>0.50361833288662561</v>
      </c>
      <c r="D105" s="211">
        <f t="shared" si="11"/>
        <v>0.6582685607075851</v>
      </c>
      <c r="E105" s="211">
        <f t="shared" si="11"/>
        <v>0.73063521844009649</v>
      </c>
      <c r="F105" s="211">
        <f t="shared" si="11"/>
        <v>0.78290002680246584</v>
      </c>
      <c r="G105" s="211">
        <f t="shared" si="11"/>
        <v>0.91503618332886627</v>
      </c>
      <c r="H105" s="211"/>
    </row>
    <row r="106" spans="1:12">
      <c r="B106" s="171">
        <v>2018</v>
      </c>
      <c r="C106" s="211">
        <f t="shared" ref="C106:F106" si="12">C36/$C45</f>
        <v>0.48794364670820917</v>
      </c>
      <c r="D106" s="211">
        <f t="shared" si="12"/>
        <v>0.65700352208073698</v>
      </c>
      <c r="E106" s="211">
        <f t="shared" si="12"/>
        <v>0.75751828772690333</v>
      </c>
      <c r="F106" s="211">
        <f t="shared" si="12"/>
        <v>0.89596315361690604</v>
      </c>
      <c r="G106" s="211"/>
      <c r="H106" s="211"/>
    </row>
    <row r="107" spans="1:12">
      <c r="B107" s="171">
        <v>2019</v>
      </c>
      <c r="C107" s="211">
        <f t="shared" ref="C107:E107" si="13">C37/$C46</f>
        <v>0.48017264634475315</v>
      </c>
      <c r="D107" s="211">
        <f t="shared" si="13"/>
        <v>0.69571081737253848</v>
      </c>
      <c r="E107" s="211">
        <f t="shared" si="13"/>
        <v>0.89776099271648235</v>
      </c>
      <c r="F107" s="211"/>
      <c r="G107" s="211"/>
      <c r="H107" s="211"/>
    </row>
    <row r="108" spans="1:12">
      <c r="B108" s="171">
        <v>2020</v>
      </c>
      <c r="C108" s="211">
        <f t="shared" ref="C108:D108" si="14">C38/$C47</f>
        <v>0.48637712435932018</v>
      </c>
      <c r="D108" s="211">
        <f t="shared" si="14"/>
        <v>0.77232263285675751</v>
      </c>
      <c r="E108" s="211"/>
      <c r="F108" s="211"/>
      <c r="G108" s="211"/>
      <c r="H108" s="211"/>
    </row>
    <row r="109" spans="1:12">
      <c r="B109" s="171">
        <v>2021</v>
      </c>
      <c r="C109" s="211">
        <f t="shared" ref="C109" si="15">C39/$C48</f>
        <v>0.53290008123476851</v>
      </c>
      <c r="D109" s="211"/>
      <c r="E109" s="211"/>
      <c r="F109" s="211"/>
      <c r="G109" s="211"/>
      <c r="H109" s="211"/>
    </row>
    <row r="110" spans="1:12">
      <c r="B110" s="93"/>
      <c r="C110" s="93"/>
      <c r="D110" s="93"/>
      <c r="E110" s="93"/>
      <c r="F110" s="93"/>
      <c r="G110" s="93"/>
      <c r="H110" s="93"/>
    </row>
    <row r="111" spans="1:12">
      <c r="B111" s="93" t="s">
        <v>415</v>
      </c>
      <c r="C111" s="93"/>
      <c r="D111" s="93"/>
      <c r="E111" s="93"/>
      <c r="F111" s="93"/>
      <c r="G111" s="93"/>
      <c r="H111" s="93"/>
    </row>
    <row r="113" spans="1:12">
      <c r="A113" s="6" t="s">
        <v>2</v>
      </c>
      <c r="B113" s="9" t="s">
        <v>133</v>
      </c>
      <c r="C113" s="4"/>
      <c r="D113" s="4"/>
      <c r="E113" s="4"/>
      <c r="F113" s="4"/>
      <c r="G113" s="4"/>
      <c r="H113" s="4"/>
      <c r="I113" s="4"/>
      <c r="J113" s="4"/>
      <c r="K113" s="4"/>
      <c r="L113" s="4"/>
    </row>
    <row r="114" spans="1:12">
      <c r="A114" s="3"/>
      <c r="B114" s="3"/>
      <c r="C114" s="3"/>
      <c r="D114" s="3"/>
      <c r="E114" s="3"/>
      <c r="F114" s="3"/>
      <c r="G114" s="4"/>
      <c r="H114" s="4"/>
      <c r="I114" s="4"/>
      <c r="J114" s="4"/>
      <c r="K114" s="4"/>
      <c r="L114" s="4"/>
    </row>
    <row r="115" spans="1:12">
      <c r="A115" s="7"/>
      <c r="B115" s="7"/>
      <c r="C115" s="7"/>
      <c r="D115" s="7"/>
      <c r="E115" s="7"/>
      <c r="F115" s="7"/>
      <c r="G115" s="7"/>
      <c r="H115" s="7"/>
      <c r="I115" s="7"/>
      <c r="J115" s="7"/>
      <c r="K115" s="7"/>
      <c r="L115" s="7"/>
    </row>
    <row r="116" spans="1:12">
      <c r="A116" s="7" t="s">
        <v>1</v>
      </c>
      <c r="B116" s="7"/>
      <c r="C116" s="7"/>
      <c r="D116" s="7"/>
      <c r="E116" s="7"/>
      <c r="F116" s="7"/>
      <c r="G116" s="7"/>
      <c r="H116" s="7"/>
      <c r="I116" s="7"/>
      <c r="J116" s="7"/>
      <c r="K116" s="7"/>
      <c r="L116" s="7"/>
    </row>
    <row r="117" spans="1:12">
      <c r="A117" s="7"/>
      <c r="B117" s="93" t="s">
        <v>416</v>
      </c>
      <c r="C117" s="93"/>
      <c r="D117" s="93"/>
      <c r="E117" s="93"/>
      <c r="F117" s="93"/>
      <c r="G117" s="93"/>
      <c r="H117" s="93"/>
      <c r="I117" s="7"/>
      <c r="J117" s="7"/>
      <c r="K117" s="7"/>
      <c r="L117" s="7"/>
    </row>
    <row r="118" spans="1:12">
      <c r="A118" s="7"/>
      <c r="B118" s="93"/>
      <c r="C118" s="93"/>
      <c r="D118" s="93"/>
      <c r="E118" s="93"/>
      <c r="F118" s="93"/>
      <c r="G118" s="93"/>
      <c r="H118" s="93"/>
      <c r="I118" s="7"/>
      <c r="J118" s="7"/>
      <c r="K118" s="7"/>
      <c r="L118" s="7"/>
    </row>
    <row r="119" spans="1:12">
      <c r="A119" s="7"/>
      <c r="B119" s="93"/>
      <c r="C119" s="170">
        <f>C103</f>
        <v>12</v>
      </c>
      <c r="D119" s="170">
        <f t="shared" ref="D119:H119" si="16">D103</f>
        <v>24</v>
      </c>
      <c r="E119" s="170">
        <f t="shared" si="16"/>
        <v>36</v>
      </c>
      <c r="F119" s="170">
        <f t="shared" si="16"/>
        <v>48</v>
      </c>
      <c r="G119" s="170">
        <f t="shared" si="16"/>
        <v>60</v>
      </c>
      <c r="H119" s="170">
        <f t="shared" si="16"/>
        <v>72</v>
      </c>
      <c r="I119" s="7"/>
      <c r="J119" s="7"/>
      <c r="K119" s="7"/>
      <c r="L119" s="7"/>
    </row>
    <row r="120" spans="1:12">
      <c r="B120" s="93"/>
      <c r="C120" s="210">
        <f>C109</f>
        <v>0.53290008123476851</v>
      </c>
      <c r="D120" s="210">
        <f>D108</f>
        <v>0.77232263285675751</v>
      </c>
      <c r="E120" s="210">
        <f>E107</f>
        <v>0.89776099271648235</v>
      </c>
      <c r="F120" s="210">
        <f>F106</f>
        <v>0.89596315361690604</v>
      </c>
      <c r="G120" s="210">
        <f>G105</f>
        <v>0.91503618332886627</v>
      </c>
      <c r="H120" s="210">
        <f>H104</f>
        <v>0.94993306559571622</v>
      </c>
    </row>
    <row r="122" spans="1:12">
      <c r="A122" s="6" t="s">
        <v>3</v>
      </c>
      <c r="B122" s="293" t="s">
        <v>134</v>
      </c>
      <c r="C122" s="293"/>
      <c r="D122" s="293"/>
      <c r="E122" s="293"/>
      <c r="F122" s="293"/>
      <c r="G122" s="293"/>
      <c r="H122" s="293"/>
      <c r="I122" s="293"/>
      <c r="J122" s="293"/>
      <c r="K122" s="293"/>
      <c r="L122" s="4"/>
    </row>
    <row r="123" spans="1:12">
      <c r="A123" s="6"/>
      <c r="B123" s="293"/>
      <c r="C123" s="293"/>
      <c r="D123" s="293"/>
      <c r="E123" s="293"/>
      <c r="F123" s="293"/>
      <c r="G123" s="293"/>
      <c r="H123" s="293"/>
      <c r="I123" s="293"/>
      <c r="J123" s="293"/>
      <c r="K123" s="293"/>
      <c r="L123" s="4"/>
    </row>
    <row r="124" spans="1:12">
      <c r="A124" s="3"/>
      <c r="B124" s="3"/>
      <c r="C124" s="3"/>
      <c r="D124" s="3"/>
      <c r="E124" s="3"/>
      <c r="F124" s="3"/>
      <c r="G124" s="4"/>
      <c r="H124" s="4"/>
      <c r="I124" s="4"/>
      <c r="J124" s="4"/>
      <c r="K124" s="4"/>
      <c r="L124" s="4"/>
    </row>
    <row r="125" spans="1:12">
      <c r="A125" s="7"/>
      <c r="B125" s="7"/>
      <c r="C125" s="7"/>
      <c r="D125" s="7"/>
      <c r="E125" s="7"/>
      <c r="F125" s="7"/>
      <c r="G125" s="7"/>
      <c r="H125" s="7"/>
      <c r="I125" s="7"/>
      <c r="J125" s="7"/>
      <c r="K125" s="7"/>
      <c r="L125" s="7"/>
    </row>
    <row r="126" spans="1:12">
      <c r="A126" s="7" t="s">
        <v>1</v>
      </c>
      <c r="B126" s="7"/>
      <c r="C126" s="7"/>
      <c r="D126" s="7"/>
      <c r="E126" s="7"/>
      <c r="F126" s="7"/>
      <c r="G126" s="7"/>
      <c r="H126" s="7"/>
      <c r="I126" s="7"/>
      <c r="J126" s="7"/>
      <c r="K126" s="7"/>
      <c r="L126" s="7"/>
    </row>
    <row r="127" spans="1:12">
      <c r="A127" s="7"/>
      <c r="B127" s="171" t="s">
        <v>31</v>
      </c>
      <c r="C127" s="317" t="s">
        <v>417</v>
      </c>
      <c r="D127" s="317"/>
      <c r="E127" s="317"/>
      <c r="F127" s="317"/>
      <c r="G127" s="317"/>
      <c r="H127" s="317"/>
      <c r="I127" s="7"/>
      <c r="J127" s="7"/>
      <c r="K127" s="7"/>
      <c r="L127" s="7"/>
    </row>
    <row r="128" spans="1:12">
      <c r="A128" s="7"/>
      <c r="B128" s="128" t="s">
        <v>32</v>
      </c>
      <c r="C128" s="128">
        <v>12</v>
      </c>
      <c r="D128" s="128">
        <v>24</v>
      </c>
      <c r="E128" s="128">
        <v>36</v>
      </c>
      <c r="F128" s="128">
        <v>48</v>
      </c>
      <c r="G128" s="128">
        <v>60</v>
      </c>
      <c r="H128" s="128">
        <v>72</v>
      </c>
      <c r="I128" s="7"/>
      <c r="J128" s="7"/>
      <c r="K128" s="7"/>
      <c r="L128" s="7"/>
    </row>
    <row r="129" spans="2:8">
      <c r="B129" s="171">
        <v>2016</v>
      </c>
      <c r="C129" s="172">
        <f t="shared" ref="C129:C132" si="17">C130/(1+$E$51)</f>
        <v>17519.988838041507</v>
      </c>
      <c r="D129" s="172">
        <f t="shared" ref="D129:D132" si="18">D130/(1+$E$51)</f>
        <v>20719.426851055858</v>
      </c>
      <c r="E129" s="172">
        <f t="shared" ref="E129:E131" si="19">E130/(1+$E$51)</f>
        <v>25343.845679592876</v>
      </c>
      <c r="F129" s="172">
        <f t="shared" ref="F129:F130" si="20">F130/(1+$E$51)</f>
        <v>29138.346913857113</v>
      </c>
      <c r="G129" s="172">
        <f>G130/(1+$E$51)</f>
        <v>30884.322820037105</v>
      </c>
      <c r="H129" s="212">
        <f>H65</f>
        <v>32733.315508021391</v>
      </c>
    </row>
    <row r="130" spans="2:8">
      <c r="B130" s="171">
        <v>2017</v>
      </c>
      <c r="C130" s="172">
        <f t="shared" si="17"/>
        <v>18395.988279943584</v>
      </c>
      <c r="D130" s="172">
        <f t="shared" si="18"/>
        <v>21755.398193608653</v>
      </c>
      <c r="E130" s="172">
        <f t="shared" si="19"/>
        <v>26611.037963572522</v>
      </c>
      <c r="F130" s="172">
        <f t="shared" si="20"/>
        <v>30595.264259549971</v>
      </c>
      <c r="G130" s="212">
        <f>G66</f>
        <v>32428.538961038961</v>
      </c>
      <c r="H130" s="172"/>
    </row>
    <row r="131" spans="2:8">
      <c r="B131" s="171">
        <v>2018</v>
      </c>
      <c r="C131" s="172">
        <f t="shared" si="17"/>
        <v>19315.787693940765</v>
      </c>
      <c r="D131" s="172">
        <f t="shared" si="18"/>
        <v>22843.168103289085</v>
      </c>
      <c r="E131" s="172">
        <f t="shared" si="19"/>
        <v>27941.589861751148</v>
      </c>
      <c r="F131" s="212">
        <f>F67</f>
        <v>32125.027472527472</v>
      </c>
      <c r="G131" s="172"/>
      <c r="H131" s="172"/>
    </row>
    <row r="132" spans="2:8">
      <c r="B132" s="171">
        <v>2019</v>
      </c>
      <c r="C132" s="172">
        <f t="shared" si="17"/>
        <v>20281.577078637805</v>
      </c>
      <c r="D132" s="172">
        <f t="shared" si="18"/>
        <v>23985.326508453541</v>
      </c>
      <c r="E132" s="212">
        <f>E68</f>
        <v>29338.669354838708</v>
      </c>
      <c r="F132" s="172"/>
      <c r="G132" s="172"/>
      <c r="H132" s="172"/>
    </row>
    <row r="133" spans="2:8">
      <c r="B133" s="171">
        <v>2020</v>
      </c>
      <c r="C133" s="172">
        <f>C134/(1+$E$51)</f>
        <v>21295.655932569698</v>
      </c>
      <c r="D133" s="212">
        <f>D69</f>
        <v>25184.592833876221</v>
      </c>
      <c r="E133" s="172"/>
      <c r="F133" s="172"/>
      <c r="G133" s="172"/>
      <c r="H133" s="172"/>
    </row>
    <row r="134" spans="2:8">
      <c r="B134" s="171">
        <v>2021</v>
      </c>
      <c r="C134" s="212">
        <f>C70</f>
        <v>22360.438729198184</v>
      </c>
      <c r="D134" s="172"/>
      <c r="E134" s="172"/>
      <c r="F134" s="172"/>
      <c r="G134" s="172"/>
      <c r="H134" s="172"/>
    </row>
    <row r="135" spans="2:8">
      <c r="B135" s="93"/>
      <c r="C135" s="93"/>
      <c r="D135" s="93"/>
      <c r="E135" s="93"/>
      <c r="F135" s="93"/>
      <c r="G135" s="93"/>
      <c r="H135" s="93"/>
    </row>
    <row r="136" spans="2:8">
      <c r="B136" s="171" t="s">
        <v>31</v>
      </c>
      <c r="C136" s="317" t="s">
        <v>418</v>
      </c>
      <c r="D136" s="317"/>
      <c r="E136" s="317"/>
      <c r="F136" s="317"/>
      <c r="G136" s="317"/>
      <c r="H136" s="317"/>
    </row>
    <row r="137" spans="2:8">
      <c r="B137" s="128" t="s">
        <v>32</v>
      </c>
      <c r="C137" s="128">
        <v>12</v>
      </c>
      <c r="D137" s="128">
        <v>24</v>
      </c>
      <c r="E137" s="128">
        <v>36</v>
      </c>
      <c r="F137" s="128">
        <v>48</v>
      </c>
      <c r="G137" s="128">
        <v>60</v>
      </c>
      <c r="H137" s="128">
        <v>72</v>
      </c>
    </row>
    <row r="138" spans="2:8">
      <c r="B138" s="171">
        <v>2016</v>
      </c>
      <c r="C138" s="172">
        <f t="shared" ref="C138:F138" si="21">C$120*$C43</f>
        <v>1990.3818034118603</v>
      </c>
      <c r="D138" s="172">
        <f t="shared" si="21"/>
        <v>2884.6250337199895</v>
      </c>
      <c r="E138" s="172">
        <f t="shared" si="21"/>
        <v>3353.1373077960616</v>
      </c>
      <c r="F138" s="172">
        <f t="shared" si="21"/>
        <v>3346.4223787591441</v>
      </c>
      <c r="G138" s="172">
        <f>G$120*$C43</f>
        <v>3417.6601447333155</v>
      </c>
      <c r="H138" s="212">
        <f>H34</f>
        <v>3548</v>
      </c>
    </row>
    <row r="139" spans="2:8">
      <c r="B139" s="171">
        <v>2017</v>
      </c>
      <c r="C139" s="172">
        <f t="shared" ref="C139:F139" si="22">C$120*$C44</f>
        <v>1988.2502030869214</v>
      </c>
      <c r="D139" s="172">
        <f t="shared" si="22"/>
        <v>2881.5357431885623</v>
      </c>
      <c r="E139" s="172">
        <f t="shared" si="22"/>
        <v>3349.5462638251956</v>
      </c>
      <c r="F139" s="172">
        <f t="shared" si="22"/>
        <v>3342.8385261446765</v>
      </c>
      <c r="G139" s="212">
        <f>G35</f>
        <v>3414</v>
      </c>
      <c r="H139" s="172"/>
    </row>
    <row r="140" spans="2:8">
      <c r="B140" s="171">
        <v>2018</v>
      </c>
      <c r="C140" s="172">
        <f t="shared" ref="C140:E140" si="23">C$120*$C45</f>
        <v>1966.9341998375305</v>
      </c>
      <c r="D140" s="172">
        <f t="shared" si="23"/>
        <v>2850.6428378742921</v>
      </c>
      <c r="E140" s="172">
        <f t="shared" si="23"/>
        <v>3313.6358241165362</v>
      </c>
      <c r="F140" s="212">
        <f>F36</f>
        <v>3307</v>
      </c>
      <c r="G140" s="172"/>
      <c r="H140" s="172"/>
    </row>
    <row r="141" spans="2:8">
      <c r="B141" s="171">
        <v>2019</v>
      </c>
      <c r="C141" s="172">
        <f t="shared" ref="C141:D141" si="24">C$120*$C46</f>
        <v>1975.4606011372869</v>
      </c>
      <c r="D141" s="172">
        <f t="shared" si="24"/>
        <v>2863</v>
      </c>
      <c r="E141" s="212">
        <f>E37</f>
        <v>3328</v>
      </c>
      <c r="F141" s="172"/>
      <c r="G141" s="172"/>
      <c r="H141" s="172"/>
    </row>
    <row r="142" spans="2:8">
      <c r="B142" s="171">
        <v>2020</v>
      </c>
      <c r="C142" s="172">
        <f>C$120*$C47</f>
        <v>1975.4606011372869</v>
      </c>
      <c r="D142" s="212">
        <f>D38</f>
        <v>2863</v>
      </c>
      <c r="E142" s="172"/>
      <c r="F142" s="172"/>
      <c r="G142" s="172"/>
      <c r="H142" s="172"/>
    </row>
    <row r="143" spans="2:8">
      <c r="B143" s="171">
        <v>2021</v>
      </c>
      <c r="C143" s="212">
        <f>C39</f>
        <v>1968</v>
      </c>
      <c r="D143" s="172"/>
      <c r="E143" s="172"/>
      <c r="F143" s="172"/>
      <c r="G143" s="172"/>
      <c r="H143" s="172"/>
    </row>
    <row r="144" spans="2:8">
      <c r="B144" s="93"/>
      <c r="C144" s="93"/>
      <c r="D144" s="93"/>
      <c r="E144" s="93"/>
      <c r="F144" s="93"/>
      <c r="G144" s="93"/>
      <c r="H144" s="93"/>
    </row>
    <row r="145" spans="2:8">
      <c r="B145" s="171" t="s">
        <v>31</v>
      </c>
      <c r="C145" s="317" t="s">
        <v>419</v>
      </c>
      <c r="D145" s="317"/>
      <c r="E145" s="317"/>
      <c r="F145" s="317"/>
      <c r="G145" s="317"/>
      <c r="H145" s="317"/>
    </row>
    <row r="146" spans="2:8">
      <c r="B146" s="128" t="s">
        <v>32</v>
      </c>
      <c r="C146" s="128">
        <v>12</v>
      </c>
      <c r="D146" s="128">
        <v>24</v>
      </c>
      <c r="E146" s="128">
        <v>36</v>
      </c>
      <c r="F146" s="128">
        <v>48</v>
      </c>
      <c r="G146" s="128">
        <v>60</v>
      </c>
      <c r="H146" s="128">
        <v>72</v>
      </c>
    </row>
    <row r="147" spans="2:8">
      <c r="B147" s="171">
        <v>2016</v>
      </c>
      <c r="C147" s="172">
        <f>C25-C138</f>
        <v>1281.6181965881397</v>
      </c>
      <c r="D147" s="172">
        <f t="shared" ref="D147:G151" si="25">D25-D138</f>
        <v>663.37496628001054</v>
      </c>
      <c r="E147" s="172">
        <f t="shared" si="25"/>
        <v>192.86269220393842</v>
      </c>
      <c r="F147" s="172">
        <f t="shared" si="25"/>
        <v>386.57762124085593</v>
      </c>
      <c r="G147" s="172">
        <f t="shared" si="25"/>
        <v>308.33985526668448</v>
      </c>
      <c r="H147" s="172">
        <f>H25-H138</f>
        <v>187</v>
      </c>
    </row>
    <row r="148" spans="2:8">
      <c r="B148" s="171">
        <v>2017</v>
      </c>
      <c r="C148" s="172">
        <f t="shared" ref="C148:C152" si="26">C26-C139</f>
        <v>1286.7497969130786</v>
      </c>
      <c r="D148" s="172">
        <f t="shared" si="25"/>
        <v>631.46425681143774</v>
      </c>
      <c r="E148" s="172">
        <f t="shared" si="25"/>
        <v>258.45373617480436</v>
      </c>
      <c r="F148" s="172">
        <f t="shared" si="25"/>
        <v>350.16147385532349</v>
      </c>
      <c r="G148" s="172">
        <f t="shared" si="25"/>
        <v>308</v>
      </c>
      <c r="H148" s="172"/>
    </row>
    <row r="149" spans="2:8">
      <c r="B149" s="171">
        <v>2018</v>
      </c>
      <c r="C149" s="172">
        <f t="shared" si="26"/>
        <v>1424.0658001624695</v>
      </c>
      <c r="D149" s="172">
        <f t="shared" si="25"/>
        <v>619.35716212570787</v>
      </c>
      <c r="E149" s="172">
        <f t="shared" si="25"/>
        <v>296.36417588346376</v>
      </c>
      <c r="F149" s="172">
        <f t="shared" si="25"/>
        <v>364</v>
      </c>
      <c r="G149" s="172"/>
      <c r="H149" s="172"/>
    </row>
    <row r="150" spans="2:8">
      <c r="B150" s="171">
        <v>2019</v>
      </c>
      <c r="C150" s="172">
        <f t="shared" si="26"/>
        <v>1295.5393988627131</v>
      </c>
      <c r="D150" s="172">
        <f t="shared" si="25"/>
        <v>554</v>
      </c>
      <c r="E150" s="172">
        <f>E28-E141</f>
        <v>248</v>
      </c>
      <c r="F150" s="172"/>
      <c r="G150" s="172"/>
      <c r="H150" s="172"/>
    </row>
    <row r="151" spans="2:8">
      <c r="B151" s="171">
        <v>2020</v>
      </c>
      <c r="C151" s="172">
        <f t="shared" si="26"/>
        <v>1368.5393988627131</v>
      </c>
      <c r="D151" s="172">
        <f t="shared" si="25"/>
        <v>614</v>
      </c>
      <c r="E151" s="172"/>
      <c r="F151" s="172"/>
      <c r="G151" s="172"/>
      <c r="H151" s="172"/>
    </row>
    <row r="152" spans="2:8">
      <c r="B152" s="171">
        <v>2021</v>
      </c>
      <c r="C152" s="172">
        <f t="shared" si="26"/>
        <v>1322</v>
      </c>
      <c r="D152" s="172"/>
      <c r="E152" s="172"/>
      <c r="F152" s="172"/>
      <c r="G152" s="172"/>
      <c r="H152" s="172"/>
    </row>
    <row r="153" spans="2:8">
      <c r="B153" s="93"/>
      <c r="C153" s="93"/>
      <c r="D153" s="93"/>
      <c r="E153" s="93"/>
      <c r="F153" s="93"/>
      <c r="G153" s="93"/>
      <c r="H153" s="93"/>
    </row>
    <row r="154" spans="2:8">
      <c r="B154" s="171" t="s">
        <v>31</v>
      </c>
      <c r="C154" s="317" t="s">
        <v>420</v>
      </c>
      <c r="D154" s="317"/>
      <c r="E154" s="317"/>
      <c r="F154" s="317"/>
      <c r="G154" s="317"/>
      <c r="H154" s="317"/>
    </row>
    <row r="155" spans="2:8">
      <c r="B155" s="128" t="s">
        <v>32</v>
      </c>
      <c r="C155" s="128">
        <v>12</v>
      </c>
      <c r="D155" s="128">
        <v>24</v>
      </c>
      <c r="E155" s="128">
        <v>36</v>
      </c>
      <c r="F155" s="128">
        <v>48</v>
      </c>
      <c r="G155" s="128">
        <v>60</v>
      </c>
      <c r="H155" s="128">
        <v>72</v>
      </c>
    </row>
    <row r="156" spans="2:8">
      <c r="B156" s="171">
        <v>2016</v>
      </c>
      <c r="C156" s="172">
        <f>C129*C147</f>
        <v>22453936.498855092</v>
      </c>
      <c r="D156" s="172">
        <f t="shared" ref="D156:H156" si="27">D129*D147</f>
        <v>13744749.088660324</v>
      </c>
      <c r="E156" s="172">
        <f t="shared" si="27"/>
        <v>4887882.3085674355</v>
      </c>
      <c r="F156" s="172">
        <f t="shared" si="27"/>
        <v>11264232.836849717</v>
      </c>
      <c r="G156" s="172">
        <f t="shared" si="27"/>
        <v>9522867.628339801</v>
      </c>
      <c r="H156" s="172">
        <f t="shared" si="27"/>
        <v>6121130</v>
      </c>
    </row>
    <row r="157" spans="2:8">
      <c r="B157" s="171">
        <v>2017</v>
      </c>
      <c r="C157" s="172">
        <f t="shared" ref="C157:G161" si="28">C130*C148</f>
        <v>23671034.183232781</v>
      </c>
      <c r="D157" s="172">
        <f t="shared" si="28"/>
        <v>13737756.351963984</v>
      </c>
      <c r="E157" s="172">
        <f t="shared" si="28"/>
        <v>6877722.1851748759</v>
      </c>
      <c r="F157" s="172">
        <f t="shared" si="28"/>
        <v>10713282.826117121</v>
      </c>
      <c r="G157" s="172">
        <f t="shared" si="28"/>
        <v>9987990</v>
      </c>
      <c r="H157" s="172"/>
    </row>
    <row r="158" spans="2:8">
      <c r="B158" s="171">
        <v>2018</v>
      </c>
      <c r="C158" s="172">
        <f t="shared" si="28"/>
        <v>27506952.658140138</v>
      </c>
      <c r="D158" s="172">
        <f t="shared" si="28"/>
        <v>14148079.770413617</v>
      </c>
      <c r="E158" s="172">
        <f t="shared" si="28"/>
        <v>8280886.2522516251</v>
      </c>
      <c r="F158" s="172">
        <f t="shared" si="28"/>
        <v>11693510</v>
      </c>
      <c r="G158" s="172"/>
      <c r="H158" s="172"/>
    </row>
    <row r="159" spans="2:8">
      <c r="B159" s="171">
        <v>2019</v>
      </c>
      <c r="C159" s="172">
        <f t="shared" si="28"/>
        <v>26275582.176446203</v>
      </c>
      <c r="D159" s="172">
        <f t="shared" si="28"/>
        <v>13287870.885683263</v>
      </c>
      <c r="E159" s="172">
        <f t="shared" si="28"/>
        <v>7275990</v>
      </c>
      <c r="F159" s="172"/>
      <c r="G159" s="172"/>
      <c r="H159" s="172"/>
    </row>
    <row r="160" spans="2:8">
      <c r="B160" s="171">
        <v>2020</v>
      </c>
      <c r="C160" s="172">
        <f t="shared" si="28"/>
        <v>29143944.168346107</v>
      </c>
      <c r="D160" s="172">
        <f t="shared" si="28"/>
        <v>15463340</v>
      </c>
      <c r="E160" s="172"/>
      <c r="F160" s="172"/>
      <c r="G160" s="172"/>
      <c r="H160" s="172"/>
    </row>
    <row r="161" spans="2:8">
      <c r="B161" s="171">
        <v>2021</v>
      </c>
      <c r="C161" s="172">
        <f t="shared" si="28"/>
        <v>29560500</v>
      </c>
      <c r="D161" s="172"/>
      <c r="E161" s="172"/>
      <c r="F161" s="172"/>
      <c r="G161" s="172"/>
      <c r="H161" s="172"/>
    </row>
  </sheetData>
  <mergeCells count="21">
    <mergeCell ref="C5:H5"/>
    <mergeCell ref="C14:H14"/>
    <mergeCell ref="C23:H23"/>
    <mergeCell ref="C32:H32"/>
    <mergeCell ref="C41:D41"/>
    <mergeCell ref="C127:H127"/>
    <mergeCell ref="C136:H136"/>
    <mergeCell ref="C145:H145"/>
    <mergeCell ref="C154:H154"/>
    <mergeCell ref="C42:D42"/>
    <mergeCell ref="B82:K83"/>
    <mergeCell ref="B122:K123"/>
    <mergeCell ref="C43:D43"/>
    <mergeCell ref="C44:D44"/>
    <mergeCell ref="C45:D45"/>
    <mergeCell ref="C46:D46"/>
    <mergeCell ref="C47:D47"/>
    <mergeCell ref="C48:D48"/>
    <mergeCell ref="C63:H63"/>
    <mergeCell ref="C72:G72"/>
    <mergeCell ref="C102:H102"/>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B876E-0309-459B-A37C-39D22AFB7C81}">
  <dimension ref="A1:R60"/>
  <sheetViews>
    <sheetView zoomScaleNormal="100" workbookViewId="0"/>
  </sheetViews>
  <sheetFormatPr defaultColWidth="8.88671875" defaultRowHeight="15.6"/>
  <cols>
    <col min="1" max="1" width="8.88671875" style="1" customWidth="1"/>
    <col min="2" max="8" width="12.6640625" style="1" customWidth="1"/>
    <col min="9" max="11" width="12.77734375" style="1" customWidth="1"/>
    <col min="12" max="16384" width="8.88671875" style="1"/>
  </cols>
  <sheetData>
    <row r="1" spans="1:18" ht="17.399999999999999">
      <c r="A1" s="2" t="s">
        <v>135</v>
      </c>
      <c r="B1" s="4"/>
      <c r="C1" s="9" t="s">
        <v>9</v>
      </c>
      <c r="D1" s="4"/>
      <c r="E1" s="4"/>
      <c r="F1" s="4"/>
      <c r="G1" s="4"/>
      <c r="H1" s="4"/>
      <c r="I1" s="4"/>
      <c r="J1" s="4"/>
      <c r="K1" s="4"/>
      <c r="L1" s="3"/>
    </row>
    <row r="2" spans="1:18">
      <c r="A2" s="4"/>
      <c r="B2" s="4"/>
      <c r="C2" s="4"/>
      <c r="D2" s="4"/>
      <c r="E2" s="4"/>
      <c r="F2" s="4"/>
      <c r="G2" s="4"/>
      <c r="H2" s="4"/>
      <c r="I2" s="4"/>
      <c r="J2" s="4"/>
      <c r="K2" s="4"/>
      <c r="L2" s="3"/>
    </row>
    <row r="3" spans="1:18">
      <c r="A3" s="293" t="s">
        <v>136</v>
      </c>
      <c r="B3" s="293"/>
      <c r="C3" s="293"/>
      <c r="D3" s="293"/>
      <c r="E3" s="293"/>
      <c r="F3" s="293"/>
      <c r="G3" s="293"/>
      <c r="H3" s="293"/>
      <c r="I3" s="293"/>
      <c r="J3" s="293"/>
      <c r="K3" s="293"/>
      <c r="L3" s="3"/>
    </row>
    <row r="4" spans="1:18" s="11" customFormat="1">
      <c r="A4" s="293"/>
      <c r="B4" s="293"/>
      <c r="C4" s="293"/>
      <c r="D4" s="293"/>
      <c r="E4" s="293"/>
      <c r="F4" s="293"/>
      <c r="G4" s="293"/>
      <c r="H4" s="293"/>
      <c r="I4" s="293"/>
      <c r="J4" s="293"/>
      <c r="K4" s="293"/>
      <c r="L4" s="10"/>
    </row>
    <row r="5" spans="1:18" s="11" customFormat="1">
      <c r="A5" s="13"/>
      <c r="B5" s="32" t="s">
        <v>253</v>
      </c>
      <c r="C5" s="10"/>
      <c r="D5" s="12"/>
      <c r="E5" s="12"/>
      <c r="F5" s="12"/>
      <c r="G5" s="12"/>
      <c r="H5" s="10"/>
      <c r="I5" s="10"/>
      <c r="J5" s="10"/>
      <c r="K5" s="10"/>
      <c r="L5" s="10"/>
    </row>
    <row r="6" spans="1:18" s="11" customFormat="1">
      <c r="A6" s="13"/>
      <c r="B6" s="32" t="s">
        <v>254</v>
      </c>
      <c r="C6" s="10"/>
      <c r="D6" s="12"/>
      <c r="E6" s="12"/>
      <c r="F6" s="12"/>
      <c r="G6" s="12"/>
      <c r="H6" s="10"/>
      <c r="I6" s="10"/>
      <c r="J6" s="10"/>
      <c r="K6" s="10"/>
      <c r="L6" s="10"/>
    </row>
    <row r="7" spans="1:18">
      <c r="A7" s="9"/>
      <c r="B7" s="9"/>
      <c r="C7" s="9"/>
      <c r="D7" s="9"/>
      <c r="E7" s="9"/>
      <c r="F7" s="9"/>
      <c r="G7" s="9"/>
      <c r="H7" s="9"/>
      <c r="I7" s="9"/>
      <c r="J7" s="9"/>
      <c r="K7" s="9"/>
      <c r="L7" s="9"/>
    </row>
    <row r="9" spans="1:18">
      <c r="A9" s="6" t="s">
        <v>4</v>
      </c>
      <c r="B9" s="9" t="s">
        <v>137</v>
      </c>
      <c r="C9" s="4"/>
      <c r="D9" s="4"/>
      <c r="E9" s="4"/>
      <c r="F9" s="4"/>
      <c r="G9" s="4"/>
      <c r="H9" s="4"/>
      <c r="I9" s="4"/>
      <c r="J9" s="4"/>
      <c r="K9" s="4"/>
      <c r="L9" s="4"/>
      <c r="M9" s="8"/>
      <c r="N9" s="8"/>
      <c r="O9" s="8"/>
      <c r="P9" s="8"/>
      <c r="Q9" s="8"/>
      <c r="R9" s="8"/>
    </row>
    <row r="10" spans="1:18">
      <c r="A10" s="3"/>
      <c r="B10" s="3"/>
      <c r="C10" s="3"/>
      <c r="D10" s="3"/>
      <c r="E10" s="3"/>
      <c r="F10" s="3"/>
      <c r="G10" s="4"/>
      <c r="H10" s="4"/>
      <c r="I10" s="4"/>
      <c r="J10" s="4"/>
      <c r="K10" s="4"/>
      <c r="L10" s="4"/>
    </row>
    <row r="11" spans="1:18">
      <c r="A11" s="7"/>
      <c r="B11" s="7"/>
      <c r="C11" s="7"/>
      <c r="D11" s="7"/>
      <c r="E11" s="7"/>
      <c r="F11" s="7"/>
      <c r="G11" s="7"/>
      <c r="H11" s="7"/>
      <c r="I11" s="7"/>
      <c r="J11" s="7"/>
      <c r="K11" s="7"/>
      <c r="L11" s="7"/>
      <c r="M11" s="7"/>
    </row>
    <row r="12" spans="1:18">
      <c r="A12" s="7" t="s">
        <v>1</v>
      </c>
      <c r="B12" s="7"/>
      <c r="C12" s="7"/>
      <c r="D12" s="7"/>
      <c r="E12" s="7"/>
      <c r="F12" s="7"/>
      <c r="G12" s="7"/>
      <c r="H12" s="7"/>
      <c r="I12" s="7"/>
      <c r="J12" s="7"/>
      <c r="K12" s="7"/>
      <c r="L12" s="7"/>
      <c r="M12" s="7"/>
      <c r="N12" s="8"/>
    </row>
    <row r="13" spans="1:18">
      <c r="A13" s="7"/>
      <c r="B13" s="7" t="s">
        <v>421</v>
      </c>
      <c r="C13" s="7"/>
      <c r="D13" s="7"/>
      <c r="E13" s="7"/>
      <c r="F13" s="7"/>
      <c r="G13" s="7"/>
      <c r="H13" s="7"/>
      <c r="I13" s="7"/>
      <c r="J13" s="7"/>
      <c r="K13" s="7"/>
      <c r="L13" s="7"/>
      <c r="M13" s="7"/>
      <c r="N13" s="8"/>
    </row>
    <row r="14" spans="1:18">
      <c r="A14" s="7"/>
      <c r="B14" s="7" t="s">
        <v>422</v>
      </c>
      <c r="C14" s="7"/>
      <c r="D14" s="7"/>
      <c r="E14" s="7"/>
      <c r="F14" s="7"/>
      <c r="G14" s="7"/>
      <c r="H14" s="7"/>
      <c r="I14" s="7"/>
      <c r="J14" s="7"/>
      <c r="K14" s="7"/>
      <c r="L14" s="7"/>
      <c r="M14" s="7"/>
      <c r="N14" s="8"/>
    </row>
    <row r="15" spans="1:18">
      <c r="M15" s="8"/>
      <c r="N15" s="8"/>
    </row>
    <row r="16" spans="1:18">
      <c r="A16" s="9"/>
      <c r="B16" s="9"/>
      <c r="C16" s="9"/>
      <c r="D16" s="9"/>
      <c r="E16" s="9"/>
      <c r="F16" s="9"/>
      <c r="G16" s="9"/>
      <c r="H16" s="9"/>
      <c r="I16" s="9"/>
      <c r="J16" s="9"/>
      <c r="K16" s="9"/>
      <c r="L16" s="9"/>
      <c r="M16" s="8"/>
      <c r="N16" s="8"/>
    </row>
    <row r="17" spans="1:14">
      <c r="A17" s="9" t="s">
        <v>122</v>
      </c>
      <c r="B17" s="9"/>
      <c r="C17" s="9"/>
      <c r="D17" s="9"/>
      <c r="E17" s="9"/>
      <c r="F17" s="9"/>
      <c r="G17" s="9"/>
      <c r="H17" s="9"/>
      <c r="I17" s="9"/>
      <c r="J17" s="9"/>
      <c r="K17" s="9"/>
      <c r="L17" s="9"/>
      <c r="M17" s="8"/>
      <c r="N17" s="8"/>
    </row>
    <row r="18" spans="1:14">
      <c r="A18" s="9"/>
      <c r="B18" s="9"/>
      <c r="C18" s="9"/>
      <c r="D18" s="9"/>
      <c r="E18" s="9"/>
      <c r="F18" s="9"/>
      <c r="G18" s="9"/>
      <c r="H18" s="9"/>
      <c r="I18" s="9"/>
      <c r="J18" s="9"/>
      <c r="K18" s="9"/>
      <c r="L18" s="9"/>
      <c r="M18" s="8"/>
      <c r="N18" s="8"/>
    </row>
    <row r="19" spans="1:14">
      <c r="A19" s="9"/>
      <c r="B19" s="62"/>
      <c r="C19" s="302" t="s">
        <v>33</v>
      </c>
      <c r="D19" s="303"/>
      <c r="E19" s="9"/>
      <c r="F19" s="9"/>
      <c r="G19" s="9"/>
      <c r="H19" s="9"/>
      <c r="I19" s="9"/>
      <c r="J19" s="9"/>
      <c r="K19" s="9"/>
      <c r="L19" s="9"/>
      <c r="M19" s="8"/>
      <c r="N19" s="8"/>
    </row>
    <row r="20" spans="1:14">
      <c r="A20" s="9"/>
      <c r="B20" s="63"/>
      <c r="C20" s="304" t="s">
        <v>138</v>
      </c>
      <c r="D20" s="305"/>
      <c r="E20" s="9"/>
      <c r="F20" s="9"/>
      <c r="G20" s="9"/>
      <c r="H20" s="9"/>
      <c r="I20" s="9"/>
      <c r="J20" s="9"/>
      <c r="K20" s="9"/>
      <c r="L20" s="9"/>
      <c r="M20" s="8"/>
      <c r="N20" s="8"/>
    </row>
    <row r="21" spans="1:14" ht="31.2">
      <c r="A21" s="9"/>
      <c r="B21" s="61" t="s">
        <v>34</v>
      </c>
      <c r="C21" s="26" t="s">
        <v>139</v>
      </c>
      <c r="D21" s="26" t="s">
        <v>140</v>
      </c>
      <c r="E21" s="9"/>
      <c r="F21" s="9"/>
      <c r="G21" s="9"/>
      <c r="H21" s="9"/>
      <c r="I21" s="9"/>
      <c r="J21" s="9"/>
      <c r="K21" s="9"/>
      <c r="L21" s="9"/>
      <c r="M21" s="8"/>
      <c r="N21" s="8"/>
    </row>
    <row r="22" spans="1:14">
      <c r="A22" s="9"/>
      <c r="B22" s="21">
        <v>2017</v>
      </c>
      <c r="C22" s="22">
        <v>2696</v>
      </c>
      <c r="D22" s="22">
        <v>4328</v>
      </c>
      <c r="E22" s="9"/>
      <c r="F22" s="9"/>
      <c r="G22" s="9"/>
      <c r="H22" s="9"/>
      <c r="I22" s="9"/>
      <c r="J22" s="9"/>
      <c r="K22" s="9"/>
      <c r="L22" s="9"/>
      <c r="M22" s="8"/>
      <c r="N22" s="8"/>
    </row>
    <row r="23" spans="1:14">
      <c r="A23" s="9"/>
      <c r="B23" s="21">
        <v>2018</v>
      </c>
      <c r="C23" s="22">
        <v>2816</v>
      </c>
      <c r="D23" s="22">
        <v>4112</v>
      </c>
      <c r="E23" s="9"/>
      <c r="F23" s="9"/>
      <c r="G23" s="9"/>
      <c r="H23" s="9"/>
      <c r="I23" s="9"/>
      <c r="J23" s="9"/>
      <c r="K23" s="9"/>
      <c r="L23" s="9"/>
      <c r="M23" s="8"/>
      <c r="N23" s="8"/>
    </row>
    <row r="24" spans="1:14">
      <c r="A24" s="9"/>
      <c r="B24" s="21">
        <v>2019</v>
      </c>
      <c r="C24" s="22">
        <v>2492</v>
      </c>
      <c r="D24" s="22">
        <v>3896</v>
      </c>
      <c r="E24" s="9"/>
      <c r="F24" s="9"/>
      <c r="G24" s="9"/>
      <c r="H24" s="9"/>
      <c r="I24" s="9"/>
      <c r="J24" s="9"/>
      <c r="K24" s="9"/>
      <c r="L24" s="9"/>
      <c r="M24" s="8"/>
      <c r="N24" s="8"/>
    </row>
    <row r="25" spans="1:14">
      <c r="A25" s="9"/>
      <c r="B25" s="21">
        <v>2020</v>
      </c>
      <c r="C25" s="22">
        <v>3185</v>
      </c>
      <c r="D25" s="22">
        <v>4784</v>
      </c>
      <c r="E25" s="9"/>
      <c r="F25" s="9"/>
      <c r="G25" s="9"/>
      <c r="H25" s="9"/>
      <c r="I25" s="9"/>
      <c r="J25" s="9"/>
      <c r="K25" s="9"/>
      <c r="L25" s="9"/>
      <c r="M25" s="8"/>
      <c r="N25" s="8"/>
    </row>
    <row r="26" spans="1:14">
      <c r="A26" s="9"/>
      <c r="B26" s="21">
        <v>2021</v>
      </c>
      <c r="C26" s="22">
        <v>3198</v>
      </c>
      <c r="D26" s="22">
        <v>4878</v>
      </c>
      <c r="E26" s="9"/>
      <c r="F26" s="9"/>
      <c r="G26" s="9"/>
      <c r="H26" s="9"/>
      <c r="I26" s="9"/>
      <c r="J26" s="9"/>
      <c r="K26" s="9"/>
      <c r="L26" s="9"/>
      <c r="M26" s="8"/>
      <c r="N26" s="8"/>
    </row>
    <row r="27" spans="1:14">
      <c r="A27" s="9"/>
      <c r="B27" s="9"/>
      <c r="C27" s="9"/>
      <c r="D27" s="9"/>
      <c r="E27" s="9"/>
      <c r="F27" s="9"/>
      <c r="G27" s="9"/>
      <c r="H27" s="9"/>
      <c r="I27" s="9"/>
      <c r="J27" s="9"/>
      <c r="K27" s="9"/>
      <c r="L27" s="9"/>
      <c r="M27" s="8"/>
      <c r="N27" s="8"/>
    </row>
    <row r="28" spans="1:14" ht="15.6" customHeight="1">
      <c r="A28" s="9"/>
      <c r="B28" s="297" t="s">
        <v>141</v>
      </c>
      <c r="C28" s="297"/>
      <c r="D28" s="297"/>
      <c r="E28" s="297"/>
      <c r="F28" s="297"/>
      <c r="G28" s="9"/>
      <c r="H28" s="9"/>
      <c r="I28" s="9"/>
      <c r="J28" s="9"/>
      <c r="K28" s="9"/>
      <c r="L28" s="9"/>
      <c r="M28" s="8"/>
      <c r="N28" s="8"/>
    </row>
    <row r="29" spans="1:14">
      <c r="A29" s="9"/>
      <c r="B29" s="297" t="s">
        <v>142</v>
      </c>
      <c r="C29" s="297"/>
      <c r="D29" s="297"/>
      <c r="E29" s="297"/>
      <c r="F29" s="297"/>
      <c r="G29" s="9"/>
      <c r="H29" s="9"/>
      <c r="I29" s="9"/>
      <c r="J29" s="9"/>
      <c r="K29" s="9"/>
      <c r="L29" s="9"/>
      <c r="M29" s="8"/>
      <c r="N29" s="8"/>
    </row>
    <row r="30" spans="1:14">
      <c r="A30" s="9"/>
      <c r="B30" s="35">
        <v>12</v>
      </c>
      <c r="C30" s="35">
        <v>24</v>
      </c>
      <c r="D30" s="35">
        <v>36</v>
      </c>
      <c r="E30" s="35">
        <v>48</v>
      </c>
      <c r="F30" s="35">
        <v>60</v>
      </c>
      <c r="G30" s="9"/>
      <c r="H30" s="9"/>
      <c r="I30" s="9"/>
      <c r="J30" s="9"/>
      <c r="K30" s="9"/>
      <c r="L30" s="9"/>
      <c r="M30" s="8"/>
      <c r="N30" s="8"/>
    </row>
    <row r="31" spans="1:14">
      <c r="A31" s="9"/>
      <c r="B31" s="16">
        <v>1.0940000000000001</v>
      </c>
      <c r="C31" s="16">
        <v>1.0189999999999999</v>
      </c>
      <c r="D31" s="16">
        <v>1.0109999999999999</v>
      </c>
      <c r="E31" s="16">
        <v>1.0049999999999999</v>
      </c>
      <c r="F31" s="16">
        <v>1.0009999999999999</v>
      </c>
      <c r="G31" s="9"/>
      <c r="H31" s="9"/>
      <c r="I31" s="9"/>
      <c r="J31" s="9"/>
      <c r="K31" s="9"/>
      <c r="L31" s="9"/>
      <c r="M31" s="8"/>
      <c r="N31" s="8"/>
    </row>
    <row r="32" spans="1:14">
      <c r="A32" s="9"/>
      <c r="B32" s="9"/>
      <c r="C32" s="9"/>
      <c r="D32" s="9"/>
      <c r="E32" s="9"/>
      <c r="F32" s="9"/>
      <c r="G32" s="9"/>
      <c r="H32" s="9"/>
      <c r="I32" s="9"/>
      <c r="J32" s="9"/>
      <c r="K32" s="9"/>
      <c r="L32" s="9"/>
      <c r="M32" s="8"/>
      <c r="N32" s="8"/>
    </row>
    <row r="33" spans="1:14" ht="18.600000000000001">
      <c r="A33" s="9"/>
      <c r="B33" s="324" t="s">
        <v>143</v>
      </c>
      <c r="C33" s="325"/>
      <c r="D33" s="325"/>
      <c r="E33" s="325"/>
      <c r="F33" s="325"/>
      <c r="G33" s="325"/>
      <c r="H33" s="320"/>
      <c r="I33" s="9"/>
      <c r="J33" s="9"/>
      <c r="K33" s="9"/>
      <c r="L33" s="9"/>
      <c r="M33" s="8"/>
      <c r="N33" s="8"/>
    </row>
    <row r="34" spans="1:14">
      <c r="A34" s="9"/>
      <c r="B34" s="55"/>
      <c r="C34" s="56"/>
      <c r="D34" s="35">
        <v>12</v>
      </c>
      <c r="E34" s="35">
        <v>24</v>
      </c>
      <c r="F34" s="35">
        <v>36</v>
      </c>
      <c r="G34" s="35">
        <v>48</v>
      </c>
      <c r="H34" s="35">
        <v>60</v>
      </c>
      <c r="I34" s="9"/>
      <c r="J34" s="9"/>
      <c r="K34" s="9"/>
      <c r="L34" s="9"/>
      <c r="M34" s="8"/>
      <c r="N34" s="8"/>
    </row>
    <row r="35" spans="1:14" ht="18">
      <c r="A35" s="9"/>
      <c r="B35" s="59" t="s">
        <v>144</v>
      </c>
      <c r="C35" s="60"/>
      <c r="D35" s="16">
        <v>0.64600000000000002</v>
      </c>
      <c r="E35" s="16">
        <v>0.626</v>
      </c>
      <c r="F35" s="16">
        <v>0.624</v>
      </c>
      <c r="G35" s="16">
        <v>0.623</v>
      </c>
      <c r="H35" s="16">
        <v>0.622</v>
      </c>
      <c r="I35" s="9"/>
      <c r="J35" s="9"/>
      <c r="K35" s="9"/>
      <c r="L35" s="9"/>
      <c r="M35" s="8"/>
      <c r="N35" s="8"/>
    </row>
    <row r="36" spans="1:14" ht="18">
      <c r="A36" s="9"/>
      <c r="B36" s="57" t="s">
        <v>145</v>
      </c>
      <c r="C36" s="58"/>
      <c r="D36" s="16">
        <v>0.98199999999999998</v>
      </c>
      <c r="E36" s="16">
        <v>0.97699999999999998</v>
      </c>
      <c r="F36" s="16">
        <v>0.97299999999999998</v>
      </c>
      <c r="G36" s="16">
        <v>0.97199999999999998</v>
      </c>
      <c r="H36" s="16">
        <v>0.97099999999999997</v>
      </c>
      <c r="I36" s="9"/>
      <c r="J36" s="9"/>
      <c r="K36" s="9"/>
      <c r="L36" s="9"/>
      <c r="M36" s="8"/>
      <c r="N36" s="8"/>
    </row>
    <row r="37" spans="1:14">
      <c r="A37" s="9"/>
      <c r="B37" s="9"/>
      <c r="C37" s="9"/>
      <c r="D37" s="9"/>
      <c r="E37" s="9"/>
      <c r="F37" s="9"/>
      <c r="G37" s="9"/>
      <c r="H37" s="9"/>
      <c r="I37" s="9"/>
      <c r="J37" s="9"/>
      <c r="K37" s="9"/>
      <c r="L37" s="9"/>
      <c r="M37" s="8"/>
      <c r="N37" s="8"/>
    </row>
    <row r="38" spans="1:14">
      <c r="A38" s="9"/>
      <c r="B38" s="9" t="s">
        <v>146</v>
      </c>
      <c r="C38" s="9"/>
      <c r="D38" s="9"/>
      <c r="E38" s="9"/>
      <c r="F38" s="9"/>
      <c r="G38" s="9"/>
      <c r="H38" s="9"/>
      <c r="I38" s="9"/>
      <c r="J38" s="9"/>
      <c r="K38" s="9"/>
      <c r="L38" s="9"/>
      <c r="M38" s="8"/>
      <c r="N38" s="8"/>
    </row>
    <row r="39" spans="1:14">
      <c r="A39" s="9"/>
      <c r="B39" s="9"/>
      <c r="C39" s="9"/>
      <c r="D39" s="9"/>
      <c r="E39" s="9"/>
      <c r="F39" s="9"/>
      <c r="G39" s="9"/>
      <c r="H39" s="9"/>
      <c r="I39" s="9"/>
      <c r="J39" s="9"/>
      <c r="K39" s="9"/>
      <c r="L39" s="9"/>
      <c r="M39" s="8"/>
      <c r="N39" s="8"/>
    </row>
    <row r="41" spans="1:14">
      <c r="A41" s="6" t="s">
        <v>5</v>
      </c>
      <c r="B41" s="293" t="s">
        <v>147</v>
      </c>
      <c r="C41" s="293"/>
      <c r="D41" s="293"/>
      <c r="E41" s="293"/>
      <c r="F41" s="293"/>
      <c r="G41" s="293"/>
      <c r="H41" s="293"/>
      <c r="I41" s="293"/>
      <c r="J41" s="293"/>
      <c r="K41" s="293"/>
      <c r="L41" s="4"/>
    </row>
    <row r="42" spans="1:14">
      <c r="A42" s="6"/>
      <c r="B42" s="293"/>
      <c r="C42" s="293"/>
      <c r="D42" s="293"/>
      <c r="E42" s="293"/>
      <c r="F42" s="293"/>
      <c r="G42" s="293"/>
      <c r="H42" s="293"/>
      <c r="I42" s="293"/>
      <c r="J42" s="293"/>
      <c r="K42" s="293"/>
      <c r="L42" s="4"/>
    </row>
    <row r="43" spans="1:14">
      <c r="A43" s="3"/>
      <c r="B43" s="3"/>
      <c r="C43" s="3"/>
      <c r="D43" s="3"/>
      <c r="E43" s="3"/>
      <c r="F43" s="3"/>
      <c r="G43" s="4"/>
      <c r="H43" s="4"/>
      <c r="I43" s="4"/>
      <c r="J43" s="4"/>
      <c r="K43" s="4"/>
      <c r="L43" s="4"/>
    </row>
    <row r="44" spans="1:14">
      <c r="A44" s="7"/>
      <c r="B44" s="7"/>
      <c r="C44" s="7"/>
      <c r="D44" s="7"/>
      <c r="E44" s="7"/>
      <c r="F44" s="7"/>
      <c r="G44" s="7"/>
      <c r="H44" s="7"/>
      <c r="I44" s="7"/>
      <c r="J44" s="7"/>
      <c r="K44" s="7"/>
      <c r="L44" s="7"/>
    </row>
    <row r="45" spans="1:14">
      <c r="A45" s="7" t="s">
        <v>1</v>
      </c>
      <c r="B45" s="7"/>
      <c r="C45" s="7"/>
      <c r="D45" s="7"/>
      <c r="E45" s="7"/>
      <c r="F45" s="7"/>
      <c r="G45" s="7"/>
      <c r="H45" s="7"/>
      <c r="I45" s="7"/>
      <c r="J45" s="7"/>
      <c r="K45" s="7"/>
      <c r="L45" s="7"/>
    </row>
    <row r="46" spans="1:14">
      <c r="A46" s="7"/>
      <c r="B46" s="213"/>
      <c r="C46" s="214"/>
      <c r="D46" s="215">
        <v>12</v>
      </c>
      <c r="E46" s="215">
        <v>24</v>
      </c>
      <c r="F46" s="215">
        <v>36</v>
      </c>
      <c r="G46" s="215">
        <v>48</v>
      </c>
      <c r="H46" s="215">
        <v>60</v>
      </c>
      <c r="I46" s="7"/>
      <c r="J46" s="7"/>
      <c r="K46" s="7"/>
      <c r="L46" s="7"/>
    </row>
    <row r="47" spans="1:14">
      <c r="A47" s="7"/>
      <c r="B47" s="93" t="s">
        <v>424</v>
      </c>
      <c r="D47" s="224">
        <f>$B31*$H35/D35</f>
        <v>1.0533560371517028</v>
      </c>
      <c r="E47" s="224">
        <f>C31*$H35/E35</f>
        <v>1.0124888178913738</v>
      </c>
      <c r="F47" s="224">
        <f>D31*$H35/F35</f>
        <v>1.0077596153846153</v>
      </c>
      <c r="G47" s="224">
        <f>E31*$H35/G35</f>
        <v>1.0033868378812199</v>
      </c>
      <c r="H47" s="224">
        <f>F31*$H35/H35</f>
        <v>1.0009999999999999</v>
      </c>
      <c r="I47" s="93"/>
      <c r="J47" s="93"/>
      <c r="K47" s="93"/>
      <c r="L47" s="7"/>
    </row>
    <row r="48" spans="1:14">
      <c r="A48" s="7"/>
      <c r="B48" s="93" t="s">
        <v>425</v>
      </c>
      <c r="D48" s="224">
        <f>B31*$H36/D36</f>
        <v>1.0817454175152752</v>
      </c>
      <c r="E48" s="224">
        <f>C31*$H36/E36</f>
        <v>1.0127420675537357</v>
      </c>
      <c r="F48" s="224">
        <f>D31*$H36/F36</f>
        <v>1.0089218910585815</v>
      </c>
      <c r="G48" s="224">
        <f>E31*$H36/G36</f>
        <v>1.0039660493827161</v>
      </c>
      <c r="H48" s="224">
        <f>F31*$H36/H36</f>
        <v>1.0009999999999999</v>
      </c>
      <c r="I48" s="93"/>
      <c r="J48" s="93"/>
      <c r="K48" s="93"/>
      <c r="L48" s="7"/>
    </row>
    <row r="49" spans="2:17">
      <c r="B49" s="93"/>
      <c r="C49" s="93"/>
      <c r="D49" s="93"/>
      <c r="E49" s="93"/>
      <c r="F49" s="93"/>
      <c r="G49" s="93"/>
      <c r="H49" s="93"/>
      <c r="I49" s="93"/>
      <c r="J49" s="93"/>
      <c r="K49" s="93"/>
      <c r="M49" s="7"/>
    </row>
    <row r="50" spans="2:17" ht="35.4" customHeight="1">
      <c r="B50" s="218"/>
      <c r="C50" s="323" t="s">
        <v>426</v>
      </c>
      <c r="D50" s="323"/>
      <c r="E50" s="151"/>
      <c r="F50" s="151"/>
      <c r="G50" s="323" t="s">
        <v>427</v>
      </c>
      <c r="H50" s="323"/>
      <c r="I50" s="323" t="s">
        <v>428</v>
      </c>
      <c r="J50" s="323"/>
      <c r="K50" s="151"/>
      <c r="L50" s="216"/>
      <c r="M50" s="217"/>
      <c r="N50" s="216"/>
      <c r="O50" s="216"/>
      <c r="P50" s="216"/>
      <c r="Q50" s="216"/>
    </row>
    <row r="51" spans="2:17" ht="31.2">
      <c r="B51" s="127" t="s">
        <v>34</v>
      </c>
      <c r="C51" s="127" t="s">
        <v>139</v>
      </c>
      <c r="D51" s="127" t="s">
        <v>140</v>
      </c>
      <c r="E51" s="127" t="s">
        <v>424</v>
      </c>
      <c r="F51" s="127" t="s">
        <v>425</v>
      </c>
      <c r="G51" s="127" t="s">
        <v>139</v>
      </c>
      <c r="H51" s="127" t="s">
        <v>140</v>
      </c>
      <c r="I51" s="127" t="s">
        <v>123</v>
      </c>
      <c r="J51" s="127" t="s">
        <v>363</v>
      </c>
      <c r="K51" s="127" t="s">
        <v>423</v>
      </c>
      <c r="L51" s="216"/>
      <c r="M51" s="216"/>
      <c r="N51" s="216"/>
      <c r="O51" s="216"/>
      <c r="P51" s="216"/>
      <c r="Q51" s="216"/>
    </row>
    <row r="52" spans="2:17">
      <c r="B52" s="218">
        <v>2017</v>
      </c>
      <c r="C52" s="219">
        <f>C22</f>
        <v>2696</v>
      </c>
      <c r="D52" s="219">
        <f t="shared" ref="D52:D56" si="0">D22</f>
        <v>4328</v>
      </c>
      <c r="E52" s="224">
        <f>H47</f>
        <v>1.0009999999999999</v>
      </c>
      <c r="F52" s="224">
        <f>H48</f>
        <v>1.0009999999999999</v>
      </c>
      <c r="G52" s="219">
        <f>E52*C52</f>
        <v>2698.6959999999999</v>
      </c>
      <c r="H52" s="219">
        <f>F52*D52</f>
        <v>4332.3279999999995</v>
      </c>
      <c r="I52" s="219">
        <f>D52-C52</f>
        <v>1632</v>
      </c>
      <c r="J52" s="219">
        <f>H52-G52</f>
        <v>1633.6319999999996</v>
      </c>
      <c r="K52" s="219">
        <f>J52-I52</f>
        <v>1.6319999999996071</v>
      </c>
      <c r="L52" s="216"/>
      <c r="M52" s="216"/>
      <c r="N52" s="216"/>
      <c r="O52" s="216"/>
      <c r="P52" s="216"/>
      <c r="Q52" s="216"/>
    </row>
    <row r="53" spans="2:17">
      <c r="B53" s="218">
        <v>2018</v>
      </c>
      <c r="C53" s="219">
        <f t="shared" ref="C53" si="1">C23</f>
        <v>2816</v>
      </c>
      <c r="D53" s="219">
        <f t="shared" si="0"/>
        <v>4112</v>
      </c>
      <c r="E53" s="224">
        <f>G47</f>
        <v>1.0033868378812199</v>
      </c>
      <c r="F53" s="224">
        <f>G48</f>
        <v>1.0039660493827161</v>
      </c>
      <c r="G53" s="219">
        <f t="shared" ref="G53:H56" si="2">E53*C53</f>
        <v>2825.5373354735152</v>
      </c>
      <c r="H53" s="219">
        <f t="shared" si="2"/>
        <v>4128.3083950617283</v>
      </c>
      <c r="I53" s="219">
        <f t="shared" ref="I53:I56" si="3">D53-C53</f>
        <v>1296</v>
      </c>
      <c r="J53" s="219">
        <f t="shared" ref="J53:J56" si="4">H53-G53</f>
        <v>1302.7710595882131</v>
      </c>
      <c r="K53" s="219">
        <f t="shared" ref="K53:K56" si="5">J53-I53</f>
        <v>6.7710595882131202</v>
      </c>
      <c r="L53" s="216"/>
      <c r="M53" s="216"/>
      <c r="N53" s="216"/>
      <c r="O53" s="216"/>
      <c r="P53" s="216"/>
      <c r="Q53" s="216"/>
    </row>
    <row r="54" spans="2:17">
      <c r="B54" s="218">
        <v>2019</v>
      </c>
      <c r="C54" s="219">
        <f t="shared" ref="C54" si="6">C24</f>
        <v>2492</v>
      </c>
      <c r="D54" s="219">
        <f t="shared" si="0"/>
        <v>3896</v>
      </c>
      <c r="E54" s="224">
        <f>F47</f>
        <v>1.0077596153846153</v>
      </c>
      <c r="F54" s="224">
        <f>F48</f>
        <v>1.0089218910585815</v>
      </c>
      <c r="G54" s="219">
        <f t="shared" si="2"/>
        <v>2511.3369615384613</v>
      </c>
      <c r="H54" s="219">
        <f t="shared" si="2"/>
        <v>3930.7596875642339</v>
      </c>
      <c r="I54" s="219">
        <f t="shared" si="3"/>
        <v>1404</v>
      </c>
      <c r="J54" s="219">
        <f t="shared" si="4"/>
        <v>1419.4227260257726</v>
      </c>
      <c r="K54" s="219">
        <f t="shared" si="5"/>
        <v>15.42272602577259</v>
      </c>
      <c r="L54" s="216"/>
      <c r="M54" s="216"/>
      <c r="N54" s="216"/>
      <c r="O54" s="216"/>
      <c r="P54" s="216"/>
      <c r="Q54" s="216"/>
    </row>
    <row r="55" spans="2:17">
      <c r="B55" s="218">
        <v>2020</v>
      </c>
      <c r="C55" s="219">
        <f t="shared" ref="C55" si="7">C25</f>
        <v>3185</v>
      </c>
      <c r="D55" s="219">
        <f t="shared" si="0"/>
        <v>4784</v>
      </c>
      <c r="E55" s="224">
        <f>E47</f>
        <v>1.0124888178913738</v>
      </c>
      <c r="F55" s="224">
        <f>E48</f>
        <v>1.0127420675537357</v>
      </c>
      <c r="G55" s="219">
        <f t="shared" si="2"/>
        <v>3224.7768849840254</v>
      </c>
      <c r="H55" s="219">
        <f t="shared" si="2"/>
        <v>4844.9580511770719</v>
      </c>
      <c r="I55" s="219">
        <f t="shared" si="3"/>
        <v>1599</v>
      </c>
      <c r="J55" s="219">
        <f t="shared" si="4"/>
        <v>1620.1811661930465</v>
      </c>
      <c r="K55" s="219">
        <f t="shared" si="5"/>
        <v>21.181166193046465</v>
      </c>
      <c r="L55" s="216"/>
      <c r="M55" s="216"/>
      <c r="N55" s="216"/>
      <c r="O55" s="216"/>
      <c r="P55" s="216"/>
      <c r="Q55" s="216"/>
    </row>
    <row r="56" spans="2:17">
      <c r="B56" s="222">
        <v>2021</v>
      </c>
      <c r="C56" s="223">
        <f t="shared" ref="C56" si="8">C26</f>
        <v>3198</v>
      </c>
      <c r="D56" s="223">
        <f t="shared" si="0"/>
        <v>4878</v>
      </c>
      <c r="E56" s="225">
        <f>D47</f>
        <v>1.0533560371517028</v>
      </c>
      <c r="F56" s="225">
        <f>D48</f>
        <v>1.0817454175152752</v>
      </c>
      <c r="G56" s="223">
        <f t="shared" si="2"/>
        <v>3368.6326068111457</v>
      </c>
      <c r="H56" s="223">
        <f t="shared" si="2"/>
        <v>5276.7541466395123</v>
      </c>
      <c r="I56" s="223">
        <f t="shared" si="3"/>
        <v>1680</v>
      </c>
      <c r="J56" s="223">
        <f t="shared" si="4"/>
        <v>1908.1215398283666</v>
      </c>
      <c r="K56" s="223">
        <f t="shared" si="5"/>
        <v>228.12153982836662</v>
      </c>
      <c r="L56" s="216"/>
      <c r="M56" s="216"/>
      <c r="N56" s="216"/>
      <c r="O56" s="216"/>
      <c r="P56" s="216"/>
      <c r="Q56" s="216"/>
    </row>
    <row r="57" spans="2:17">
      <c r="B57" s="171" t="s">
        <v>97</v>
      </c>
      <c r="C57" s="172">
        <f>SUM(C52:C56)</f>
        <v>14387</v>
      </c>
      <c r="D57" s="172">
        <f>SUM(D52:D56)</f>
        <v>21998</v>
      </c>
      <c r="E57" s="171"/>
      <c r="F57" s="171"/>
      <c r="G57" s="172">
        <f t="shared" ref="G57:J57" si="9">SUM(G52:G56)</f>
        <v>14628.979788807148</v>
      </c>
      <c r="H57" s="172">
        <f t="shared" si="9"/>
        <v>22513.108280442546</v>
      </c>
      <c r="I57" s="172">
        <f t="shared" si="9"/>
        <v>7611</v>
      </c>
      <c r="J57" s="172">
        <f t="shared" si="9"/>
        <v>7884.1284916353989</v>
      </c>
      <c r="K57" s="219">
        <f>SUM(K52:K56)</f>
        <v>273.1284916353984</v>
      </c>
      <c r="L57" s="216"/>
      <c r="M57" s="216"/>
      <c r="N57" s="216"/>
      <c r="O57" s="216"/>
      <c r="P57" s="216"/>
      <c r="Q57" s="216"/>
    </row>
    <row r="58" spans="2:17">
      <c r="B58" s="216"/>
      <c r="C58" s="216"/>
      <c r="D58" s="216"/>
      <c r="E58" s="216"/>
      <c r="F58" s="216"/>
      <c r="G58" s="216"/>
      <c r="H58" s="216"/>
      <c r="I58" s="216"/>
      <c r="J58" s="216"/>
      <c r="K58" s="216"/>
      <c r="L58" s="216"/>
      <c r="M58" s="216"/>
      <c r="N58" s="216"/>
      <c r="O58" s="216"/>
      <c r="P58" s="216"/>
      <c r="Q58" s="216"/>
    </row>
    <row r="59" spans="2:17">
      <c r="B59" s="216"/>
      <c r="C59" s="216"/>
      <c r="D59" s="216"/>
      <c r="E59" s="216"/>
      <c r="F59" s="216"/>
      <c r="G59" s="216"/>
      <c r="H59" s="216"/>
      <c r="I59" s="216"/>
      <c r="J59" s="216"/>
      <c r="K59" s="216"/>
      <c r="L59" s="216"/>
      <c r="M59" s="216"/>
      <c r="N59" s="216"/>
      <c r="O59" s="216"/>
      <c r="P59" s="216"/>
      <c r="Q59" s="216"/>
    </row>
    <row r="60" spans="2:17">
      <c r="B60" s="216"/>
      <c r="C60" s="216"/>
      <c r="D60" s="216"/>
      <c r="E60" s="216"/>
      <c r="F60" s="216"/>
      <c r="G60" s="216"/>
      <c r="H60" s="216"/>
      <c r="I60" s="216"/>
      <c r="J60" s="216"/>
      <c r="K60" s="216"/>
      <c r="L60" s="216"/>
      <c r="M60" s="216"/>
      <c r="N60" s="216"/>
      <c r="O60" s="216"/>
      <c r="P60" s="216"/>
      <c r="Q60" s="216"/>
    </row>
  </sheetData>
  <mergeCells count="10">
    <mergeCell ref="A3:K4"/>
    <mergeCell ref="C19:D19"/>
    <mergeCell ref="C20:D20"/>
    <mergeCell ref="B28:F28"/>
    <mergeCell ref="B29:F29"/>
    <mergeCell ref="C50:D50"/>
    <mergeCell ref="G50:H50"/>
    <mergeCell ref="I50:J50"/>
    <mergeCell ref="B33:H33"/>
    <mergeCell ref="B41:K42"/>
  </mergeCell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vt:i4>
      </vt:variant>
    </vt:vector>
  </HeadingPairs>
  <TitlesOfParts>
    <vt:vector size="22" baseType="lpstr">
      <vt:lpstr>Question1</vt:lpstr>
      <vt:lpstr>Question2</vt:lpstr>
      <vt:lpstr>Question3</vt:lpstr>
      <vt:lpstr>Question4</vt:lpstr>
      <vt:lpstr>Question5</vt:lpstr>
      <vt:lpstr>Question6</vt:lpstr>
      <vt:lpstr>Question7</vt:lpstr>
      <vt:lpstr>Question8</vt:lpstr>
      <vt:lpstr>Question9</vt:lpstr>
      <vt:lpstr>Question10</vt:lpstr>
      <vt:lpstr>Question11</vt:lpstr>
      <vt:lpstr>Question12</vt:lpstr>
      <vt:lpstr>Question13</vt:lpstr>
      <vt:lpstr>Question14</vt:lpstr>
      <vt:lpstr>Question15</vt:lpstr>
      <vt:lpstr>Question16</vt:lpstr>
      <vt:lpstr>Question17</vt:lpstr>
      <vt:lpstr>Question18</vt:lpstr>
      <vt:lpstr>Question19</vt:lpstr>
      <vt:lpstr>Question9!_Hlk95996120</vt:lpstr>
      <vt:lpstr>Question9!_Hlk96002139</vt:lpstr>
      <vt:lpstr>Question2!OLE_LINK11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 Zionce</cp:lastModifiedBy>
  <cp:lastPrinted>2018-12-31T14:01:19Z</cp:lastPrinted>
  <dcterms:created xsi:type="dcterms:W3CDTF">2016-11-07T18:30:57Z</dcterms:created>
  <dcterms:modified xsi:type="dcterms:W3CDTF">2022-08-25T17:42:12Z</dcterms:modified>
</cp:coreProperties>
</file>