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https://uofwaterloo-my.sharepoint.com/personal/q23zhou_uwaterloo_ca/Documents/UW/Service/SOA/AAM/Sample Questions ALTAM/"/>
    </mc:Choice>
  </mc:AlternateContent>
  <xr:revisionPtr revIDLastSave="668" documentId="13_ncr:1_{2DAEC996-5CC7-4A46-8600-85903774796B}" xr6:coauthVersionLast="47" xr6:coauthVersionMax="47" xr10:uidLastSave="{4FE135F0-DAF0-B347-9BE6-20D1457EFC5D}"/>
  <bookViews>
    <workbookView xWindow="27040" yWindow="-1740" windowWidth="38400" windowHeight="21600" activeTab="3" xr2:uid="{768C92FF-21E1-694F-9A04-0B206F3F028C}"/>
  </bookViews>
  <sheets>
    <sheet name="Question 57" sheetId="9" r:id="rId1"/>
    <sheet name="Question 58" sheetId="10" r:id="rId2"/>
    <sheet name="Question 59" sheetId="12" r:id="rId3"/>
    <sheet name="Question 60" sheetId="13" r:id="rId4"/>
  </sheets>
  <definedNames>
    <definedName name="A">'Question 57'!$J$15</definedName>
    <definedName name="alpha">'Question 60'!$D$16</definedName>
    <definedName name="B">'Question 57'!$J$16</definedName>
    <definedName name="cc">'Question 57'!$J$17</definedName>
    <definedName name="DB">'Question 57'!$G$95</definedName>
    <definedName name="h">'Question 57'!$J$19</definedName>
    <definedName name="I_12">'Question 57'!$I$95</definedName>
    <definedName name="i_h">'Question 58'!$E$21</definedName>
    <definedName name="i_j">'Question 58'!$I$21</definedName>
    <definedName name="i_t">'Question 58'!$G$21</definedName>
    <definedName name="int_rate">'Question 60'!$D$17</definedName>
    <definedName name="Iss_exp">'Question 57'!$C$95</definedName>
    <definedName name="Maint_exp">'Question 57'!$E$95</definedName>
    <definedName name="Pr_exp">'Question 58'!$C$21</definedName>
    <definedName name="solver_adj" localSheetId="1" hidden="1">'Question 58'!$E$21</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'Question 58'!$B$48</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0</definedName>
    <definedName name="solver_ver" localSheetId="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3" l="1"/>
  <c r="F46" i="13"/>
  <c r="F44" i="13"/>
  <c r="F43" i="13"/>
  <c r="F48" i="13"/>
  <c r="F49" i="13"/>
  <c r="F45" i="13"/>
  <c r="C69" i="13"/>
  <c r="J45" i="13"/>
  <c r="J46" i="13" s="1"/>
  <c r="J47" i="13" s="1"/>
  <c r="J48" i="13" s="1"/>
  <c r="F47" i="13"/>
  <c r="C68" i="13" l="1"/>
  <c r="E44" i="13" l="1"/>
  <c r="E43" i="13"/>
  <c r="D29" i="13"/>
  <c r="G81" i="13" s="1"/>
  <c r="D34" i="13"/>
  <c r="G87" i="13" s="1"/>
  <c r="D25" i="13"/>
  <c r="E87" i="13"/>
  <c r="B83" i="13"/>
  <c r="B84" i="13" s="1"/>
  <c r="E82" i="13"/>
  <c r="E81" i="13"/>
  <c r="C74" i="13"/>
  <c r="B70" i="13"/>
  <c r="B71" i="13" s="1"/>
  <c r="E49" i="13"/>
  <c r="B45" i="13"/>
  <c r="D33" i="13"/>
  <c r="B36" i="13" s="1"/>
  <c r="D31" i="13"/>
  <c r="D30" i="13"/>
  <c r="D28" i="13"/>
  <c r="D27" i="13"/>
  <c r="D43" i="13" s="1"/>
  <c r="G43" i="13" s="1"/>
  <c r="D26" i="13"/>
  <c r="B25" i="13"/>
  <c r="B26" i="13" s="1"/>
  <c r="B27" i="13" s="1"/>
  <c r="B28" i="13" s="1"/>
  <c r="B29" i="13" s="1"/>
  <c r="B30" i="13" s="1"/>
  <c r="B31" i="13" s="1"/>
  <c r="B32" i="13" s="1"/>
  <c r="B33" i="13" s="1"/>
  <c r="B34" i="13" s="1"/>
  <c r="D47" i="13" l="1"/>
  <c r="B46" i="13"/>
  <c r="E45" i="13"/>
  <c r="D46" i="13"/>
  <c r="F81" i="13"/>
  <c r="D44" i="13"/>
  <c r="G44" i="13" s="1"/>
  <c r="D45" i="13"/>
  <c r="G45" i="13" s="1"/>
  <c r="B47" i="13"/>
  <c r="E47" i="13" s="1"/>
  <c r="G47" i="13" s="1"/>
  <c r="E46" i="13"/>
  <c r="G46" i="13" s="1"/>
  <c r="G82" i="13"/>
  <c r="G83" i="13"/>
  <c r="B72" i="13"/>
  <c r="C72" i="13" s="1"/>
  <c r="C71" i="13"/>
  <c r="B85" i="13"/>
  <c r="E84" i="13"/>
  <c r="D49" i="13"/>
  <c r="G49" i="13" s="1"/>
  <c r="G85" i="13"/>
  <c r="E83" i="13"/>
  <c r="G86" i="13"/>
  <c r="C70" i="13"/>
  <c r="D48" i="13"/>
  <c r="G84" i="13"/>
  <c r="F83" i="13" l="1"/>
  <c r="C83" i="13" s="1"/>
  <c r="D81" i="13"/>
  <c r="C81" i="13"/>
  <c r="F84" i="13"/>
  <c r="D84" i="13" s="1"/>
  <c r="B48" i="13"/>
  <c r="E48" i="13" s="1"/>
  <c r="G48" i="13" s="1"/>
  <c r="G50" i="13" s="1"/>
  <c r="D83" i="13"/>
  <c r="B73" i="13"/>
  <c r="C73" i="13" s="1"/>
  <c r="F82" i="13"/>
  <c r="F87" i="13"/>
  <c r="B86" i="13"/>
  <c r="E86" i="13" s="1"/>
  <c r="F86" i="13" s="1"/>
  <c r="E85" i="13"/>
  <c r="F85" i="13" s="1"/>
  <c r="C84" i="13" l="1"/>
  <c r="B54" i="13"/>
  <c r="C85" i="13"/>
  <c r="D85" i="13"/>
  <c r="D82" i="13"/>
  <c r="C82" i="13"/>
  <c r="D86" i="13"/>
  <c r="C86" i="13"/>
  <c r="D87" i="13"/>
  <c r="C87" i="13"/>
  <c r="D30" i="12" l="1"/>
  <c r="D53" i="12"/>
  <c r="AA13" i="12"/>
  <c r="AA14" i="12" s="1"/>
  <c r="AA15" i="12" s="1"/>
  <c r="AA16" i="12" s="1"/>
  <c r="AA17" i="12" s="1"/>
  <c r="AA18" i="12" s="1"/>
  <c r="AA19" i="12" s="1"/>
  <c r="AA20" i="12" s="1"/>
  <c r="AA21" i="12" s="1"/>
  <c r="AA22" i="12" s="1"/>
  <c r="AA23" i="12" s="1"/>
  <c r="AA24" i="12" s="1"/>
  <c r="AA25" i="12" s="1"/>
  <c r="AA26" i="12" s="1"/>
  <c r="AA27" i="12" s="1"/>
  <c r="AA28" i="12" s="1"/>
  <c r="AA29" i="12" s="1"/>
  <c r="AA30" i="12" s="1"/>
  <c r="AA31" i="12" s="1"/>
  <c r="AA32" i="12" s="1"/>
  <c r="R8" i="12"/>
  <c r="R9" i="12" s="1"/>
  <c r="R10" i="12" s="1"/>
  <c r="R11" i="12" s="1"/>
  <c r="R12" i="12" s="1"/>
  <c r="R13" i="12" s="1"/>
  <c r="R14" i="12" s="1"/>
  <c r="R15" i="12" s="1"/>
  <c r="R16" i="12" s="1"/>
  <c r="R17" i="12" s="1"/>
  <c r="R18" i="12" s="1"/>
  <c r="R19" i="12" s="1"/>
  <c r="R20" i="12" s="1"/>
  <c r="R21" i="12" s="1"/>
  <c r="R22" i="12" s="1"/>
  <c r="R23" i="12" s="1"/>
  <c r="R24" i="12" s="1"/>
  <c r="R25" i="12" s="1"/>
  <c r="R26" i="12" s="1"/>
  <c r="R27" i="12" s="1"/>
  <c r="R28" i="12" s="1"/>
  <c r="R29" i="12" s="1"/>
  <c r="R30" i="12" s="1"/>
  <c r="R31" i="12" s="1"/>
  <c r="R32" i="12" s="1"/>
  <c r="AE5" i="12"/>
  <c r="AF5" i="12" s="1"/>
  <c r="AB5" i="12"/>
  <c r="AB6" i="12" s="1"/>
  <c r="AB7" i="12" s="1"/>
  <c r="AB8" i="12" s="1"/>
  <c r="AB9" i="12" s="1"/>
  <c r="AB10" i="12" s="1"/>
  <c r="AB11" i="12" s="1"/>
  <c r="AB12" i="12" s="1"/>
  <c r="AB13" i="12" s="1"/>
  <c r="AB14" i="12" s="1"/>
  <c r="AB15" i="12" s="1"/>
  <c r="AB16" i="12" s="1"/>
  <c r="AB17" i="12" s="1"/>
  <c r="AB18" i="12" s="1"/>
  <c r="AB19" i="12" s="1"/>
  <c r="AB20" i="12" s="1"/>
  <c r="AB21" i="12" s="1"/>
  <c r="AB22" i="12" s="1"/>
  <c r="AB23" i="12" s="1"/>
  <c r="AB24" i="12" s="1"/>
  <c r="AB25" i="12" s="1"/>
  <c r="AB26" i="12" s="1"/>
  <c r="AB27" i="12" s="1"/>
  <c r="AB28" i="12" s="1"/>
  <c r="AB29" i="12" s="1"/>
  <c r="AB30" i="12" s="1"/>
  <c r="AB31" i="12" s="1"/>
  <c r="AB32" i="12" s="1"/>
  <c r="AI4" i="12"/>
  <c r="AI5" i="12" s="1"/>
  <c r="AI6" i="12" s="1"/>
  <c r="AI7" i="12" s="1"/>
  <c r="AI8" i="12" s="1"/>
  <c r="AI9" i="12" s="1"/>
  <c r="AI10" i="12" s="1"/>
  <c r="AI11" i="12" s="1"/>
  <c r="AI12" i="12" s="1"/>
  <c r="AI13" i="12" s="1"/>
  <c r="AI14" i="12" s="1"/>
  <c r="AI15" i="12" s="1"/>
  <c r="AI16" i="12" s="1"/>
  <c r="AI17" i="12" s="1"/>
  <c r="AI18" i="12" s="1"/>
  <c r="AI19" i="12" s="1"/>
  <c r="AI20" i="12" s="1"/>
  <c r="AI21" i="12" s="1"/>
  <c r="AI22" i="12" s="1"/>
  <c r="AI23" i="12" s="1"/>
  <c r="AI24" i="12" s="1"/>
  <c r="AI25" i="12" s="1"/>
  <c r="AI26" i="12" s="1"/>
  <c r="AI27" i="12" s="1"/>
  <c r="AH4" i="12"/>
  <c r="AH5" i="12" s="1"/>
  <c r="AH6" i="12" s="1"/>
  <c r="AH7" i="12" s="1"/>
  <c r="AH8" i="12" s="1"/>
  <c r="AH9" i="12" s="1"/>
  <c r="AH10" i="12" s="1"/>
  <c r="AH11" i="12" s="1"/>
  <c r="AH12" i="12" s="1"/>
  <c r="AH13" i="12" s="1"/>
  <c r="AH14" i="12" s="1"/>
  <c r="AH15" i="12" s="1"/>
  <c r="AH16" i="12" s="1"/>
  <c r="AH17" i="12" s="1"/>
  <c r="AH18" i="12" s="1"/>
  <c r="AH19" i="12" s="1"/>
  <c r="AH20" i="12" s="1"/>
  <c r="AH21" i="12" s="1"/>
  <c r="AH22" i="12" s="1"/>
  <c r="AH23" i="12" s="1"/>
  <c r="AH24" i="12" s="1"/>
  <c r="AH25" i="12" s="1"/>
  <c r="AH26" i="12" s="1"/>
  <c r="AH27" i="12" s="1"/>
  <c r="AH28" i="12" s="1"/>
  <c r="AH29" i="12" s="1"/>
  <c r="AH30" i="12" s="1"/>
  <c r="AH31" i="12" s="1"/>
  <c r="AH32" i="12" s="1"/>
  <c r="AF4" i="12"/>
  <c r="AE4" i="12"/>
  <c r="AB4" i="12"/>
  <c r="AA4" i="12"/>
  <c r="AA5" i="12" s="1"/>
  <c r="AA6" i="12" s="1"/>
  <c r="AA7" i="12" s="1"/>
  <c r="AA8" i="12" s="1"/>
  <c r="AA9" i="12" s="1"/>
  <c r="AA10" i="12" s="1"/>
  <c r="AA11" i="12" s="1"/>
  <c r="AA12" i="12" s="1"/>
  <c r="W4" i="12"/>
  <c r="W5" i="12" s="1"/>
  <c r="W6" i="12" s="1"/>
  <c r="W7" i="12" s="1"/>
  <c r="W8" i="12" s="1"/>
  <c r="W9" i="12" s="1"/>
  <c r="W10" i="12" s="1"/>
  <c r="W11" i="12" s="1"/>
  <c r="W12" i="12" s="1"/>
  <c r="S4" i="12"/>
  <c r="S5" i="12" s="1"/>
  <c r="S6" i="12" s="1"/>
  <c r="S7" i="12" s="1"/>
  <c r="S8" i="12" s="1"/>
  <c r="S9" i="12" s="1"/>
  <c r="S10" i="12" s="1"/>
  <c r="S11" i="12" s="1"/>
  <c r="S12" i="12" s="1"/>
  <c r="S13" i="12" s="1"/>
  <c r="S14" i="12" s="1"/>
  <c r="S15" i="12" s="1"/>
  <c r="S16" i="12" s="1"/>
  <c r="S17" i="12" s="1"/>
  <c r="R4" i="12"/>
  <c r="R5" i="12" s="1"/>
  <c r="R6" i="12" s="1"/>
  <c r="R7" i="12" s="1"/>
  <c r="O4" i="12"/>
  <c r="O5"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AM3" i="12"/>
  <c r="AM4" i="12" s="1"/>
  <c r="AM5" i="12" s="1"/>
  <c r="AM6" i="12" s="1"/>
  <c r="AM7" i="12" s="1"/>
  <c r="AM8" i="12" s="1"/>
  <c r="AM9" i="12" s="1"/>
  <c r="AM10" i="12" s="1"/>
  <c r="AM11" i="12" s="1"/>
  <c r="AM12" i="12" s="1"/>
  <c r="AF3" i="12"/>
  <c r="AO3" i="12" s="1"/>
  <c r="AO4" i="12" s="1"/>
  <c r="AO5" i="12" s="1"/>
  <c r="W3" i="12"/>
  <c r="P3" i="12"/>
  <c r="Y3" i="12" s="1"/>
  <c r="AL2" i="12"/>
  <c r="T2" i="12"/>
  <c r="P5" i="12" l="1"/>
  <c r="O6" i="12"/>
  <c r="P4" i="12"/>
  <c r="Y4" i="12" s="1"/>
  <c r="Y5" i="12" s="1"/>
  <c r="AE6" i="12"/>
  <c r="AF6" i="12" s="1"/>
  <c r="S18" i="12"/>
  <c r="S19" i="12" s="1"/>
  <c r="S20" i="12" s="1"/>
  <c r="S21" i="12" s="1"/>
  <c r="S22" i="12" s="1"/>
  <c r="AK3" i="12"/>
  <c r="AE7" i="12"/>
  <c r="U3" i="12"/>
  <c r="V3" i="12"/>
  <c r="AJ3" i="12"/>
  <c r="AL3" i="12" l="1"/>
  <c r="AO6" i="12"/>
  <c r="P6" i="12"/>
  <c r="Y6" i="12" s="1"/>
  <c r="O7" i="12"/>
  <c r="AN3" i="12"/>
  <c r="AK4" i="12"/>
  <c r="AJ4" i="12"/>
  <c r="T3" i="12"/>
  <c r="AE8" i="12"/>
  <c r="AF7" i="12"/>
  <c r="S23" i="12"/>
  <c r="S24" i="12" s="1"/>
  <c r="S25" i="12" s="1"/>
  <c r="S26" i="12" s="1"/>
  <c r="S27" i="12" s="1"/>
  <c r="AO7" i="12"/>
  <c r="AL4" i="12" l="1"/>
  <c r="P7" i="12"/>
  <c r="Y7" i="12" s="1"/>
  <c r="O8" i="12"/>
  <c r="AN4" i="12"/>
  <c r="AJ5" i="12"/>
  <c r="AK5" i="12"/>
  <c r="AE9" i="12"/>
  <c r="AF8" i="12"/>
  <c r="AO8" i="12" s="1"/>
  <c r="X3" i="12"/>
  <c r="D42" i="12" s="1"/>
  <c r="V4" i="12"/>
  <c r="U4" i="12"/>
  <c r="O9" i="12" l="1"/>
  <c r="P8" i="12"/>
  <c r="Y8" i="12" s="1"/>
  <c r="T4" i="12"/>
  <c r="AF9" i="12"/>
  <c r="AO9" i="12" s="1"/>
  <c r="AE10" i="12"/>
  <c r="V5" i="12"/>
  <c r="U5" i="12"/>
  <c r="T5" i="12" s="1"/>
  <c r="X4" i="12"/>
  <c r="D43" i="12" s="1"/>
  <c r="AL5" i="12"/>
  <c r="O10" i="12" l="1"/>
  <c r="P9" i="12"/>
  <c r="Y9" i="12" s="1"/>
  <c r="AK6" i="12"/>
  <c r="AJ6" i="12"/>
  <c r="AL6" i="12" s="1"/>
  <c r="AN5" i="12"/>
  <c r="V6" i="12"/>
  <c r="X5" i="12"/>
  <c r="U6" i="12"/>
  <c r="T6" i="12" s="1"/>
  <c r="AF10" i="12"/>
  <c r="AO10" i="12" s="1"/>
  <c r="AE11" i="12"/>
  <c r="P10" i="12" l="1"/>
  <c r="Y10" i="12" s="1"/>
  <c r="O11" i="12"/>
  <c r="AE12" i="12"/>
  <c r="AF11" i="12"/>
  <c r="AO11" i="12" s="1"/>
  <c r="V7" i="12"/>
  <c r="U7" i="12"/>
  <c r="T7" i="12" s="1"/>
  <c r="X6" i="12"/>
  <c r="AK7" i="12"/>
  <c r="AJ7" i="12"/>
  <c r="AL7" i="12" s="1"/>
  <c r="AN6" i="12"/>
  <c r="P11" i="12" l="1"/>
  <c r="Y11" i="12" s="1"/>
  <c r="O12" i="12"/>
  <c r="U8" i="12"/>
  <c r="V8" i="12"/>
  <c r="X7" i="12"/>
  <c r="AK8" i="12"/>
  <c r="AJ8" i="12"/>
  <c r="AL8" i="12" s="1"/>
  <c r="AN7" i="12"/>
  <c r="AE13" i="12"/>
  <c r="AE14" i="12" s="1"/>
  <c r="AE15" i="12" s="1"/>
  <c r="AE16" i="12" s="1"/>
  <c r="AE17" i="12" s="1"/>
  <c r="AE18" i="12" s="1"/>
  <c r="AE19" i="12" s="1"/>
  <c r="AE20" i="12" s="1"/>
  <c r="AE21" i="12" s="1"/>
  <c r="AE22" i="12" s="1"/>
  <c r="AE23" i="12" s="1"/>
  <c r="AE24" i="12" s="1"/>
  <c r="AE25" i="12" s="1"/>
  <c r="AE26" i="12" s="1"/>
  <c r="AE27" i="12" s="1"/>
  <c r="AE28" i="12" s="1"/>
  <c r="AE29" i="12" s="1"/>
  <c r="AE30" i="12" s="1"/>
  <c r="AE31" i="12" s="1"/>
  <c r="AE32" i="12" s="1"/>
  <c r="AF12" i="12"/>
  <c r="AO12" i="12" s="1"/>
  <c r="AO13" i="12" s="1"/>
  <c r="AO14" i="12" s="1"/>
  <c r="AO15" i="12" s="1"/>
  <c r="AO16" i="12" s="1"/>
  <c r="AO17" i="12" s="1"/>
  <c r="AO18" i="12" s="1"/>
  <c r="AO19" i="12" s="1"/>
  <c r="AO20" i="12" s="1"/>
  <c r="AO21" i="12" s="1"/>
  <c r="AO22" i="12" s="1"/>
  <c r="AO23" i="12" s="1"/>
  <c r="AO24" i="12" s="1"/>
  <c r="AO25" i="12" s="1"/>
  <c r="AO26" i="12" s="1"/>
  <c r="AO27" i="12" s="1"/>
  <c r="AO28" i="12" s="1"/>
  <c r="AO29" i="12" s="1"/>
  <c r="AO30" i="12" s="1"/>
  <c r="AO31" i="12" s="1"/>
  <c r="AO32" i="12" s="1"/>
  <c r="P12" i="12" l="1"/>
  <c r="Y12" i="12" s="1"/>
  <c r="O13" i="12"/>
  <c r="O14" i="12" s="1"/>
  <c r="O15" i="12" s="1"/>
  <c r="O16" i="12" s="1"/>
  <c r="O17" i="12" s="1"/>
  <c r="O18" i="12" s="1"/>
  <c r="O19" i="12" s="1"/>
  <c r="O20" i="12" s="1"/>
  <c r="O21" i="12" s="1"/>
  <c r="O22" i="12" s="1"/>
  <c r="O23" i="12" s="1"/>
  <c r="O24" i="12" s="1"/>
  <c r="O25" i="12" s="1"/>
  <c r="O26" i="12" s="1"/>
  <c r="O27" i="12" s="1"/>
  <c r="O28" i="12" s="1"/>
  <c r="O29" i="12" s="1"/>
  <c r="O30" i="12" s="1"/>
  <c r="O31" i="12" s="1"/>
  <c r="O32" i="12" s="1"/>
  <c r="AN8" i="12"/>
  <c r="AK9" i="12"/>
  <c r="AJ9" i="12"/>
  <c r="AL9" i="12" s="1"/>
  <c r="T8" i="12"/>
  <c r="Y13" i="12" l="1"/>
  <c r="Y14" i="12" s="1"/>
  <c r="Y15" i="12" s="1"/>
  <c r="Y16" i="12" s="1"/>
  <c r="Y17" i="12" s="1"/>
  <c r="Y18" i="12" s="1"/>
  <c r="Y19" i="12" s="1"/>
  <c r="Y20" i="12" s="1"/>
  <c r="Y21" i="12" s="1"/>
  <c r="Y22" i="12" s="1"/>
  <c r="Y23" i="12" s="1"/>
  <c r="Y24" i="12" s="1"/>
  <c r="Y25" i="12" s="1"/>
  <c r="Y26" i="12" s="1"/>
  <c r="Y27" i="12" s="1"/>
  <c r="Y28" i="12" s="1"/>
  <c r="Y29" i="12" s="1"/>
  <c r="Y30" i="12" s="1"/>
  <c r="Y31" i="12" s="1"/>
  <c r="Y32" i="12" s="1"/>
  <c r="X8" i="12"/>
  <c r="V9" i="12"/>
  <c r="U9" i="12"/>
  <c r="T9" i="12" s="1"/>
  <c r="AK10" i="12"/>
  <c r="AJ10" i="12"/>
  <c r="AL10" i="12" s="1"/>
  <c r="AN9" i="12"/>
  <c r="AK11" i="12" l="1"/>
  <c r="AN10" i="12"/>
  <c r="AJ11" i="12"/>
  <c r="AL11" i="12" s="1"/>
  <c r="X9" i="12"/>
  <c r="U10" i="12"/>
  <c r="V10" i="12"/>
  <c r="T10" i="12" l="1"/>
  <c r="V11" i="12"/>
  <c r="U11" i="12"/>
  <c r="T11" i="12" s="1"/>
  <c r="X10" i="12"/>
  <c r="AN11" i="12"/>
  <c r="AJ12" i="12"/>
  <c r="AK12" i="12"/>
  <c r="AL12" i="12" l="1"/>
  <c r="AK13" i="12"/>
  <c r="AJ13" i="12"/>
  <c r="AL13" i="12" s="1"/>
  <c r="AN12" i="12"/>
  <c r="V12" i="12"/>
  <c r="U12" i="12"/>
  <c r="T12" i="12" s="1"/>
  <c r="X11" i="12"/>
  <c r="X12" i="12" l="1"/>
  <c r="U13" i="12"/>
  <c r="V13" i="12"/>
  <c r="AK14" i="12"/>
  <c r="AJ14" i="12"/>
  <c r="AL14" i="12" s="1"/>
  <c r="AN13" i="12"/>
  <c r="AN14" i="12" l="1"/>
  <c r="AK15" i="12"/>
  <c r="AJ15" i="12"/>
  <c r="AL15" i="12" s="1"/>
  <c r="T13" i="12"/>
  <c r="U14" i="12" l="1"/>
  <c r="X13" i="12"/>
  <c r="V14" i="12"/>
  <c r="AN15" i="12"/>
  <c r="AK16" i="12"/>
  <c r="AJ16" i="12"/>
  <c r="AL16" i="12" s="1"/>
  <c r="AK17" i="12" l="1"/>
  <c r="AJ17" i="12"/>
  <c r="AL17" i="12" s="1"/>
  <c r="AN16" i="12"/>
  <c r="T14" i="12"/>
  <c r="V15" i="12" l="1"/>
  <c r="U15" i="12"/>
  <c r="T15" i="12" s="1"/>
  <c r="X14" i="12"/>
  <c r="AK18" i="12"/>
  <c r="AJ18" i="12"/>
  <c r="AL18" i="12" s="1"/>
  <c r="AN17" i="12"/>
  <c r="AJ19" i="12" l="1"/>
  <c r="AN18" i="12"/>
  <c r="AK19" i="12"/>
  <c r="X15" i="12"/>
  <c r="U16" i="12"/>
  <c r="T16" i="12" s="1"/>
  <c r="V16" i="12"/>
  <c r="V17" i="12" l="1"/>
  <c r="X16" i="12"/>
  <c r="U17" i="12"/>
  <c r="T17" i="12" s="1"/>
  <c r="AL19" i="12"/>
  <c r="AK20" i="12" l="1"/>
  <c r="AJ20" i="12"/>
  <c r="AL20" i="12" s="1"/>
  <c r="AN19" i="12"/>
  <c r="V18" i="12"/>
  <c r="X17" i="12"/>
  <c r="U18" i="12"/>
  <c r="T18" i="12" s="1"/>
  <c r="D35" i="12"/>
  <c r="X18" i="12" l="1"/>
  <c r="V19" i="12"/>
  <c r="U19" i="12"/>
  <c r="T19" i="12" s="1"/>
  <c r="AK21" i="12"/>
  <c r="AJ21" i="12"/>
  <c r="AL21" i="12" s="1"/>
  <c r="AN20" i="12"/>
  <c r="AN21" i="12" l="1"/>
  <c r="AK22" i="12"/>
  <c r="AJ22" i="12"/>
  <c r="AL22" i="12" s="1"/>
  <c r="U20" i="12"/>
  <c r="V20" i="12"/>
  <c r="X19" i="12"/>
  <c r="T20" i="12" l="1"/>
  <c r="AK23" i="12"/>
  <c r="AJ23" i="12"/>
  <c r="AL23" i="12" s="1"/>
  <c r="AN22" i="12"/>
  <c r="AJ24" i="12" l="1"/>
  <c r="AN23" i="12"/>
  <c r="AK24" i="12"/>
  <c r="V21" i="12"/>
  <c r="X20" i="12"/>
  <c r="U21" i="12"/>
  <c r="T21" i="12" s="1"/>
  <c r="X21" i="12" l="1"/>
  <c r="U22" i="12"/>
  <c r="V22" i="12"/>
  <c r="AL24" i="12"/>
  <c r="AJ25" i="12" l="1"/>
  <c r="AN24" i="12"/>
  <c r="AK25" i="12"/>
  <c r="T22" i="12"/>
  <c r="V23" i="12" l="1"/>
  <c r="U23" i="12"/>
  <c r="T23" i="12" s="1"/>
  <c r="X22" i="12"/>
  <c r="D36" i="12"/>
  <c r="AL25" i="12"/>
  <c r="AK26" i="12" l="1"/>
  <c r="AJ26" i="12"/>
  <c r="AL26" i="12" s="1"/>
  <c r="AN25" i="12"/>
  <c r="V24" i="12"/>
  <c r="U24" i="12"/>
  <c r="X23" i="12"/>
  <c r="T24" i="12" l="1"/>
  <c r="X24" i="12"/>
  <c r="V25" i="12"/>
  <c r="U25" i="12"/>
  <c r="T25" i="12" s="1"/>
  <c r="AJ27" i="12"/>
  <c r="AN26" i="12"/>
  <c r="AK27" i="12"/>
  <c r="AL27" i="12" l="1"/>
  <c r="X25" i="12"/>
  <c r="V26" i="12"/>
  <c r="U26" i="12"/>
  <c r="T26" i="12" s="1"/>
  <c r="V27" i="12" l="1"/>
  <c r="U27" i="12"/>
  <c r="T27" i="12" s="1"/>
  <c r="X26" i="12"/>
  <c r="AK28" i="12"/>
  <c r="AJ28" i="12"/>
  <c r="AL28" i="12" s="1"/>
  <c r="AN27" i="12"/>
  <c r="AN28" i="12" l="1"/>
  <c r="AJ29" i="12"/>
  <c r="AK29" i="12"/>
  <c r="X27" i="12"/>
  <c r="V28" i="12"/>
  <c r="U28" i="12"/>
  <c r="T28" i="12" s="1"/>
  <c r="D37" i="12"/>
  <c r="V29" i="12" l="1"/>
  <c r="U29" i="12"/>
  <c r="T29" i="12" s="1"/>
  <c r="X28" i="12"/>
  <c r="AL29" i="12"/>
  <c r="AJ30" i="12" l="1"/>
  <c r="AN29" i="12"/>
  <c r="AK30" i="12"/>
  <c r="V30" i="12"/>
  <c r="U30" i="12"/>
  <c r="T30" i="12" s="1"/>
  <c r="X29" i="12"/>
  <c r="U31" i="12" l="1"/>
  <c r="X30" i="12"/>
  <c r="V31" i="12"/>
  <c r="AL30" i="12"/>
  <c r="AJ31" i="12" l="1"/>
  <c r="AK31" i="12"/>
  <c r="AN30" i="12"/>
  <c r="T31" i="12"/>
  <c r="U32" i="12" l="1"/>
  <c r="V32" i="12"/>
  <c r="X31" i="12"/>
  <c r="AL31" i="12"/>
  <c r="AN31" i="12" l="1"/>
  <c r="AK32" i="12"/>
  <c r="AJ32" i="12"/>
  <c r="AL32" i="12" s="1"/>
  <c r="AN32" i="12" s="1"/>
  <c r="T32" i="12"/>
  <c r="X32" i="12" l="1"/>
  <c r="H84" i="10" l="1"/>
  <c r="G84" i="10"/>
  <c r="G83" i="10"/>
  <c r="G82" i="10"/>
  <c r="G81" i="10"/>
  <c r="G80" i="10"/>
  <c r="G79" i="10"/>
  <c r="G78" i="10"/>
  <c r="G77" i="10"/>
  <c r="G76" i="10"/>
  <c r="G75" i="10"/>
  <c r="G74" i="10"/>
  <c r="G73" i="10"/>
  <c r="G72" i="10"/>
  <c r="G71" i="10"/>
  <c r="G70" i="10"/>
  <c r="G69" i="10"/>
  <c r="G68" i="10"/>
  <c r="G67" i="10"/>
  <c r="H66" i="10"/>
  <c r="G66" i="10"/>
  <c r="D66" i="10"/>
  <c r="E66" i="10" s="1"/>
  <c r="H65" i="10"/>
  <c r="G65" i="10"/>
  <c r="E65" i="10"/>
  <c r="I64" i="10"/>
  <c r="J64" i="10" s="1"/>
  <c r="P44" i="10"/>
  <c r="H44" i="10"/>
  <c r="G44" i="10"/>
  <c r="P43" i="10"/>
  <c r="H43" i="10"/>
  <c r="G43" i="10"/>
  <c r="P42" i="10"/>
  <c r="H42" i="10"/>
  <c r="G42" i="10"/>
  <c r="P41" i="10"/>
  <c r="H41" i="10"/>
  <c r="G41" i="10"/>
  <c r="P40" i="10"/>
  <c r="H40" i="10"/>
  <c r="G40" i="10"/>
  <c r="P39" i="10"/>
  <c r="H39" i="10"/>
  <c r="G39" i="10"/>
  <c r="P38" i="10"/>
  <c r="H38" i="10"/>
  <c r="G38" i="10"/>
  <c r="P37" i="10"/>
  <c r="H37" i="10"/>
  <c r="G37" i="10"/>
  <c r="P36" i="10"/>
  <c r="H36" i="10"/>
  <c r="G36" i="10"/>
  <c r="P35" i="10"/>
  <c r="H35" i="10"/>
  <c r="G35" i="10"/>
  <c r="P34" i="10"/>
  <c r="H34" i="10"/>
  <c r="G34" i="10"/>
  <c r="P33" i="10"/>
  <c r="H33" i="10"/>
  <c r="G33" i="10"/>
  <c r="P32" i="10"/>
  <c r="H32" i="10"/>
  <c r="G32" i="10"/>
  <c r="P31" i="10"/>
  <c r="H31" i="10"/>
  <c r="G31" i="10"/>
  <c r="P30" i="10"/>
  <c r="H30" i="10"/>
  <c r="G30" i="10"/>
  <c r="P29" i="10"/>
  <c r="H29" i="10"/>
  <c r="G29" i="10"/>
  <c r="P28" i="10"/>
  <c r="H28" i="10"/>
  <c r="G28" i="10"/>
  <c r="P27" i="10"/>
  <c r="H27" i="10"/>
  <c r="G27" i="10"/>
  <c r="P26" i="10"/>
  <c r="L26" i="10"/>
  <c r="L27" i="10" s="1"/>
  <c r="L28" i="10" s="1"/>
  <c r="L29" i="10" s="1"/>
  <c r="L30" i="10" s="1"/>
  <c r="L31" i="10" s="1"/>
  <c r="L32" i="10" s="1"/>
  <c r="L33" i="10" s="1"/>
  <c r="L34" i="10" s="1"/>
  <c r="L35" i="10" s="1"/>
  <c r="L36" i="10" s="1"/>
  <c r="L37" i="10" s="1"/>
  <c r="L38" i="10" s="1"/>
  <c r="L39" i="10" s="1"/>
  <c r="L40" i="10" s="1"/>
  <c r="L41" i="10" s="1"/>
  <c r="L42" i="10" s="1"/>
  <c r="L43" i="10" s="1"/>
  <c r="L44" i="10" s="1"/>
  <c r="H26" i="10"/>
  <c r="G26" i="10"/>
  <c r="D26" i="10"/>
  <c r="P25" i="10"/>
  <c r="O25" i="10"/>
  <c r="O26" i="10" s="1"/>
  <c r="O27" i="10" s="1"/>
  <c r="O28" i="10" s="1"/>
  <c r="O29" i="10" s="1"/>
  <c r="O30" i="10" s="1"/>
  <c r="O31" i="10" s="1"/>
  <c r="O32" i="10" s="1"/>
  <c r="O33" i="10" s="1"/>
  <c r="O34" i="10" s="1"/>
  <c r="O35" i="10" s="1"/>
  <c r="O36" i="10" s="1"/>
  <c r="O37" i="10" s="1"/>
  <c r="O38" i="10" s="1"/>
  <c r="O39" i="10" s="1"/>
  <c r="O40" i="10" s="1"/>
  <c r="O41" i="10" s="1"/>
  <c r="O42" i="10" s="1"/>
  <c r="O43" i="10" s="1"/>
  <c r="O44" i="10" s="1"/>
  <c r="H25" i="10"/>
  <c r="G25" i="10"/>
  <c r="E25" i="10"/>
  <c r="I24" i="10"/>
  <c r="J24" i="10" s="1"/>
  <c r="F65" i="10" l="1"/>
  <c r="I65" i="10" s="1"/>
  <c r="J65" i="10" s="1"/>
  <c r="E26" i="10"/>
  <c r="D67" i="10"/>
  <c r="F66" i="10"/>
  <c r="I66" i="10" s="1"/>
  <c r="J66" i="10" s="1"/>
  <c r="D27" i="10"/>
  <c r="F25" i="10"/>
  <c r="I25" i="10" s="1"/>
  <c r="J25" i="10" s="1"/>
  <c r="F26" i="10" l="1"/>
  <c r="I26" i="10" s="1"/>
  <c r="J26" i="10" s="1"/>
  <c r="D68" i="10"/>
  <c r="E67" i="10"/>
  <c r="F67" i="10" s="1"/>
  <c r="E27" i="10"/>
  <c r="D28" i="10"/>
  <c r="F27" i="10" l="1"/>
  <c r="I27" i="10" s="1"/>
  <c r="J27" i="10" s="1"/>
  <c r="E68" i="10"/>
  <c r="D69" i="10"/>
  <c r="D29" i="10"/>
  <c r="E28" i="10"/>
  <c r="E29" i="10" l="1"/>
  <c r="D30" i="10"/>
  <c r="F28" i="10"/>
  <c r="I28" i="10" s="1"/>
  <c r="J28" i="10" s="1"/>
  <c r="E69" i="10"/>
  <c r="D70" i="10"/>
  <c r="D71" i="10" l="1"/>
  <c r="E70" i="10"/>
  <c r="D31" i="10"/>
  <c r="E30" i="10"/>
  <c r="F30" i="10" s="1"/>
  <c r="F29" i="10"/>
  <c r="I29" i="10" s="1"/>
  <c r="J29" i="10" s="1"/>
  <c r="E31" i="10" l="1"/>
  <c r="D32" i="10"/>
  <c r="I30" i="10"/>
  <c r="J30" i="10" s="1"/>
  <c r="D72" i="10"/>
  <c r="E71" i="10"/>
  <c r="D73" i="10" l="1"/>
  <c r="E72" i="10"/>
  <c r="D33" i="10"/>
  <c r="E32" i="10"/>
  <c r="F32" i="10" s="1"/>
  <c r="I32" i="10" s="1"/>
  <c r="J32" i="10" s="1"/>
  <c r="F31" i="10"/>
  <c r="I31" i="10" s="1"/>
  <c r="J31" i="10" s="1"/>
  <c r="E33" i="10" l="1"/>
  <c r="D34" i="10"/>
  <c r="E73" i="10"/>
  <c r="D74" i="10"/>
  <c r="D35" i="10" l="1"/>
  <c r="E34" i="10"/>
  <c r="F33" i="10"/>
  <c r="I33" i="10" s="1"/>
  <c r="J33" i="10" s="1"/>
  <c r="E74" i="10"/>
  <c r="D75" i="10"/>
  <c r="D76" i="10" l="1"/>
  <c r="E75" i="10"/>
  <c r="E35" i="10"/>
  <c r="D36" i="10"/>
  <c r="F34" i="10"/>
  <c r="I34" i="10" s="1"/>
  <c r="J34" i="10" s="1"/>
  <c r="D37" i="10" l="1"/>
  <c r="E36" i="10"/>
  <c r="F35" i="10"/>
  <c r="I35" i="10" s="1"/>
  <c r="J35" i="10" s="1"/>
  <c r="D77" i="10"/>
  <c r="E76" i="10"/>
  <c r="D78" i="10" l="1"/>
  <c r="E77" i="10"/>
  <c r="E37" i="10"/>
  <c r="D38" i="10"/>
  <c r="F36" i="10"/>
  <c r="I36" i="10" s="1"/>
  <c r="J36" i="10" s="1"/>
  <c r="D39" i="10" l="1"/>
  <c r="E38" i="10"/>
  <c r="F38" i="10" s="1"/>
  <c r="I38" i="10" s="1"/>
  <c r="J38" i="10" s="1"/>
  <c r="F37" i="10"/>
  <c r="I37" i="10" s="1"/>
  <c r="J37" i="10" s="1"/>
  <c r="E78" i="10"/>
  <c r="D79" i="10"/>
  <c r="E79" i="10" l="1"/>
  <c r="D80" i="10"/>
  <c r="E39" i="10"/>
  <c r="D40" i="10"/>
  <c r="F39" i="10" l="1"/>
  <c r="I39" i="10" s="1"/>
  <c r="J39" i="10" s="1"/>
  <c r="D41" i="10"/>
  <c r="E40" i="10"/>
  <c r="D81" i="10"/>
  <c r="E80" i="10"/>
  <c r="D82" i="10" l="1"/>
  <c r="E81" i="10"/>
  <c r="E41" i="10"/>
  <c r="D42" i="10"/>
  <c r="F40" i="10"/>
  <c r="I40" i="10" s="1"/>
  <c r="J40" i="10" s="1"/>
  <c r="D43" i="10" l="1"/>
  <c r="E42" i="10"/>
  <c r="F42" i="10" s="1"/>
  <c r="I42" i="10" s="1"/>
  <c r="J42" i="10" s="1"/>
  <c r="F41" i="10"/>
  <c r="I41" i="10" s="1"/>
  <c r="J41" i="10" s="1"/>
  <c r="E82" i="10"/>
  <c r="D83" i="10"/>
  <c r="E83" i="10" l="1"/>
  <c r="D84" i="10"/>
  <c r="E84" i="10" s="1"/>
  <c r="C84" i="10" s="1"/>
  <c r="E43" i="10"/>
  <c r="D44" i="10"/>
  <c r="E44" i="10" l="1"/>
  <c r="F43" i="10"/>
  <c r="I43" i="10" s="1"/>
  <c r="J43" i="10" s="1"/>
  <c r="H83" i="10"/>
  <c r="C83" i="10" s="1"/>
  <c r="F84" i="10"/>
  <c r="I84" i="10" s="1"/>
  <c r="J84" i="10" s="1"/>
  <c r="F83" i="10" l="1"/>
  <c r="I83" i="10" s="1"/>
  <c r="J83" i="10" s="1"/>
  <c r="H82" i="10"/>
  <c r="C82" i="10" s="1"/>
  <c r="F44" i="10"/>
  <c r="I44" i="10" s="1"/>
  <c r="J44" i="10" s="1"/>
  <c r="B48" i="10" s="1"/>
  <c r="B52" i="10" s="1"/>
  <c r="F82" i="10" l="1"/>
  <c r="I82" i="10" s="1"/>
  <c r="J82" i="10" s="1"/>
  <c r="H81" i="10"/>
  <c r="C81" i="10" s="1"/>
  <c r="H80" i="10" l="1"/>
  <c r="C80" i="10" s="1"/>
  <c r="F81" i="10"/>
  <c r="I81" i="10" s="1"/>
  <c r="J81" i="10" s="1"/>
  <c r="H79" i="10" l="1"/>
  <c r="C79" i="10" s="1"/>
  <c r="F80" i="10"/>
  <c r="I80" i="10" s="1"/>
  <c r="J80" i="10" s="1"/>
  <c r="H78" i="10" l="1"/>
  <c r="C78" i="10" s="1"/>
  <c r="F79" i="10"/>
  <c r="I79" i="10" s="1"/>
  <c r="J79" i="10" s="1"/>
  <c r="F78" i="10" l="1"/>
  <c r="I78" i="10" s="1"/>
  <c r="J78" i="10" s="1"/>
  <c r="H77" i="10"/>
  <c r="C77" i="10" s="1"/>
  <c r="F77" i="10" l="1"/>
  <c r="I77" i="10" s="1"/>
  <c r="J77" i="10" s="1"/>
  <c r="H76" i="10"/>
  <c r="C76" i="10" s="1"/>
  <c r="H75" i="10" l="1"/>
  <c r="C75" i="10" s="1"/>
  <c r="F76" i="10"/>
  <c r="I76" i="10" s="1"/>
  <c r="J76" i="10" s="1"/>
  <c r="H74" i="10" l="1"/>
  <c r="C74" i="10" s="1"/>
  <c r="F75" i="10"/>
  <c r="I75" i="10" s="1"/>
  <c r="J75" i="10" s="1"/>
  <c r="H73" i="10" l="1"/>
  <c r="C73" i="10" s="1"/>
  <c r="F74" i="10"/>
  <c r="I74" i="10" s="1"/>
  <c r="J74" i="10" s="1"/>
  <c r="F73" i="10" l="1"/>
  <c r="I73" i="10" s="1"/>
  <c r="J73" i="10" s="1"/>
  <c r="H72" i="10"/>
  <c r="C72" i="10" s="1"/>
  <c r="F72" i="10" l="1"/>
  <c r="I72" i="10" s="1"/>
  <c r="J72" i="10" s="1"/>
  <c r="H71" i="10"/>
  <c r="C71" i="10" s="1"/>
  <c r="H70" i="10" l="1"/>
  <c r="C70" i="10" s="1"/>
  <c r="F71" i="10"/>
  <c r="I71" i="10" s="1"/>
  <c r="J71" i="10" s="1"/>
  <c r="H69" i="10" l="1"/>
  <c r="C69" i="10" s="1"/>
  <c r="F70" i="10"/>
  <c r="I70" i="10" s="1"/>
  <c r="J70" i="10" s="1"/>
  <c r="H68" i="10" l="1"/>
  <c r="C68" i="10" s="1"/>
  <c r="F69" i="10"/>
  <c r="I69" i="10" s="1"/>
  <c r="J69" i="10" s="1"/>
  <c r="F68" i="10" l="1"/>
  <c r="I68" i="10" s="1"/>
  <c r="J68" i="10" s="1"/>
  <c r="H67" i="10"/>
  <c r="I67" i="10" s="1"/>
  <c r="J67" i="10" s="1"/>
  <c r="B89" i="10" s="1"/>
  <c r="C26" i="9" l="1"/>
  <c r="D26" i="9"/>
  <c r="E26" i="9" s="1"/>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H100" i="9" l="1"/>
  <c r="C86" i="9"/>
  <c r="C85" i="9"/>
  <c r="C84" i="9"/>
  <c r="C83" i="9"/>
  <c r="C82" i="9"/>
  <c r="C81" i="9"/>
  <c r="C80" i="9"/>
  <c r="C79" i="9"/>
  <c r="C78" i="9"/>
  <c r="C77" i="9"/>
  <c r="C76" i="9"/>
  <c r="C75" i="9"/>
  <c r="C74" i="9"/>
  <c r="C73" i="9"/>
  <c r="C72" i="9"/>
  <c r="C71" i="9"/>
  <c r="C70" i="9"/>
  <c r="C69" i="9"/>
  <c r="C68" i="9"/>
  <c r="D100" i="9" l="1"/>
  <c r="E100" i="9"/>
  <c r="C100" i="9"/>
  <c r="B100" i="9" l="1"/>
  <c r="F100" i="9" s="1"/>
  <c r="I100" i="9" s="1"/>
  <c r="J19" i="9"/>
  <c r="B27" i="9" l="1"/>
  <c r="F27" i="9"/>
  <c r="H27" i="9"/>
  <c r="G27" i="9"/>
  <c r="B101" i="9"/>
  <c r="F101" i="9" s="1"/>
  <c r="B28" i="9" l="1"/>
  <c r="D27" i="9"/>
  <c r="E27" i="9" s="1"/>
  <c r="G28" i="9" s="1"/>
  <c r="B102" i="9"/>
  <c r="F102" i="9" s="1"/>
  <c r="C101" i="9"/>
  <c r="I101" i="9" s="1"/>
  <c r="D28" i="9" l="1"/>
  <c r="E28" i="9" s="1"/>
  <c r="B29" i="9"/>
  <c r="F28" i="9"/>
  <c r="H28" i="9"/>
  <c r="H29" i="9" l="1"/>
  <c r="F29" i="9"/>
  <c r="C102" i="9"/>
  <c r="I102" i="9" s="1"/>
  <c r="D29" i="9"/>
  <c r="E29" i="9" s="1"/>
  <c r="B30" i="9"/>
  <c r="B103" i="9"/>
  <c r="F103" i="9" s="1"/>
  <c r="G29" i="9"/>
  <c r="G30" i="9" s="1"/>
  <c r="D101" i="9"/>
  <c r="E101" i="9"/>
  <c r="B31" i="9" l="1"/>
  <c r="D30" i="9"/>
  <c r="E30" i="9" s="1"/>
  <c r="B104" i="9"/>
  <c r="F104" i="9" s="1"/>
  <c r="F30" i="9"/>
  <c r="C103" i="9"/>
  <c r="I103" i="9" s="1"/>
  <c r="H30" i="9"/>
  <c r="H31" i="9" s="1"/>
  <c r="B105" i="9"/>
  <c r="F105" i="9" s="1"/>
  <c r="D102" i="9"/>
  <c r="H101" i="9"/>
  <c r="G101" i="9"/>
  <c r="E102" i="9"/>
  <c r="D103" i="9"/>
  <c r="F31" i="9" l="1"/>
  <c r="C104" i="9"/>
  <c r="I104" i="9" s="1"/>
  <c r="G31" i="9"/>
  <c r="B32" i="9"/>
  <c r="D31" i="9"/>
  <c r="E31" i="9" s="1"/>
  <c r="E103" i="9"/>
  <c r="G103" i="9" s="1"/>
  <c r="G102" i="9"/>
  <c r="H102" i="9"/>
  <c r="B106" i="9"/>
  <c r="F106" i="9" s="1"/>
  <c r="D104" i="9"/>
  <c r="E104" i="9"/>
  <c r="G32" i="9" l="1"/>
  <c r="F32" i="9"/>
  <c r="C105" i="9"/>
  <c r="I105" i="9" s="1"/>
  <c r="D32" i="9"/>
  <c r="E32" i="9" s="1"/>
  <c r="B33" i="9"/>
  <c r="H32" i="9"/>
  <c r="H103" i="9"/>
  <c r="G104" i="9"/>
  <c r="H104" i="9"/>
  <c r="B107" i="9"/>
  <c r="F107" i="9" s="1"/>
  <c r="E105" i="9"/>
  <c r="D105" i="9"/>
  <c r="H33" i="9" l="1"/>
  <c r="B34" i="9"/>
  <c r="D33" i="9"/>
  <c r="E33" i="9" s="1"/>
  <c r="F33" i="9"/>
  <c r="C106" i="9"/>
  <c r="I106" i="9" s="1"/>
  <c r="G33" i="9"/>
  <c r="G105" i="9"/>
  <c r="H105" i="9"/>
  <c r="B108" i="9"/>
  <c r="F108" i="9" s="1"/>
  <c r="D106" i="9"/>
  <c r="E106" i="9"/>
  <c r="H34" i="9" l="1"/>
  <c r="G34" i="9"/>
  <c r="F34" i="9"/>
  <c r="C107" i="9"/>
  <c r="I107" i="9" s="1"/>
  <c r="D34" i="9"/>
  <c r="E34" i="9" s="1"/>
  <c r="B35" i="9"/>
  <c r="G106" i="9"/>
  <c r="H106" i="9"/>
  <c r="B109" i="9"/>
  <c r="F109" i="9" s="1"/>
  <c r="E107" i="9"/>
  <c r="D107" i="9"/>
  <c r="F35" i="9" l="1"/>
  <c r="C108" i="9"/>
  <c r="I108" i="9" s="1"/>
  <c r="G35" i="9"/>
  <c r="H35" i="9"/>
  <c r="D35" i="9"/>
  <c r="E35" i="9" s="1"/>
  <c r="B36" i="9"/>
  <c r="G107" i="9"/>
  <c r="H107" i="9"/>
  <c r="D108" i="9"/>
  <c r="E108" i="9"/>
  <c r="B37" i="9" l="1"/>
  <c r="D36" i="9"/>
  <c r="E36" i="9" s="1"/>
  <c r="G36" i="9"/>
  <c r="H36" i="9"/>
  <c r="B110" i="9"/>
  <c r="F110" i="9" s="1"/>
  <c r="F36" i="9"/>
  <c r="C109" i="9"/>
  <c r="I109" i="9" s="1"/>
  <c r="G108" i="9"/>
  <c r="H108" i="9"/>
  <c r="B111" i="9"/>
  <c r="F111" i="9" s="1"/>
  <c r="E109" i="9"/>
  <c r="D109" i="9"/>
  <c r="F37" i="9" l="1"/>
  <c r="C110" i="9"/>
  <c r="I110" i="9" s="1"/>
  <c r="H37" i="9"/>
  <c r="G37" i="9"/>
  <c r="B38" i="9"/>
  <c r="D37" i="9"/>
  <c r="E37" i="9" s="1"/>
  <c r="B112" i="9"/>
  <c r="F112" i="9" s="1"/>
  <c r="H109" i="9"/>
  <c r="G109" i="9"/>
  <c r="D110" i="9"/>
  <c r="E110" i="9"/>
  <c r="H38" i="9" l="1"/>
  <c r="F38" i="9"/>
  <c r="C111" i="9"/>
  <c r="I111" i="9" s="1"/>
  <c r="G38" i="9"/>
  <c r="B39" i="9"/>
  <c r="D38" i="9"/>
  <c r="E38" i="9" s="1"/>
  <c r="G110" i="9"/>
  <c r="H110" i="9"/>
  <c r="C112" i="9"/>
  <c r="I112" i="9" s="1"/>
  <c r="B113" i="9"/>
  <c r="F113" i="9" s="1"/>
  <c r="E111" i="9"/>
  <c r="D111" i="9"/>
  <c r="B40" i="9" l="1"/>
  <c r="D39" i="9"/>
  <c r="E39" i="9" s="1"/>
  <c r="G39" i="9"/>
  <c r="F39" i="9"/>
  <c r="H39" i="9"/>
  <c r="G111" i="9"/>
  <c r="H111" i="9"/>
  <c r="B114" i="9"/>
  <c r="F114" i="9" s="1"/>
  <c r="D112" i="9"/>
  <c r="E112" i="9"/>
  <c r="H40" i="9" l="1"/>
  <c r="G40" i="9"/>
  <c r="F40" i="9"/>
  <c r="C113" i="9"/>
  <c r="I113" i="9" s="1"/>
  <c r="D40" i="9"/>
  <c r="E40" i="9" s="1"/>
  <c r="B41" i="9"/>
  <c r="B115" i="9"/>
  <c r="F115" i="9" s="1"/>
  <c r="H112" i="9"/>
  <c r="G112" i="9"/>
  <c r="E113" i="9"/>
  <c r="D113" i="9"/>
  <c r="F41" i="9" l="1"/>
  <c r="C115" i="9" s="1"/>
  <c r="I115" i="9" s="1"/>
  <c r="H41" i="9"/>
  <c r="C114" i="9"/>
  <c r="I114" i="9" s="1"/>
  <c r="D41" i="9"/>
  <c r="E41" i="9" s="1"/>
  <c r="B42" i="9"/>
  <c r="G41" i="9"/>
  <c r="G42" i="9" s="1"/>
  <c r="H113" i="9"/>
  <c r="G113" i="9"/>
  <c r="D114" i="9"/>
  <c r="E114" i="9"/>
  <c r="H42" i="9" l="1"/>
  <c r="D42" i="9"/>
  <c r="E42" i="9" s="1"/>
  <c r="B43" i="9"/>
  <c r="B116" i="9"/>
  <c r="F116" i="9" s="1"/>
  <c r="F42" i="9"/>
  <c r="G114" i="9"/>
  <c r="H114" i="9"/>
  <c r="B117" i="9"/>
  <c r="F117" i="9" s="1"/>
  <c r="E115" i="9"/>
  <c r="D115" i="9"/>
  <c r="H43" i="9" l="1"/>
  <c r="F43" i="9"/>
  <c r="C116" i="9"/>
  <c r="I116" i="9" s="1"/>
  <c r="B44" i="9"/>
  <c r="D43" i="9"/>
  <c r="E43" i="9" s="1"/>
  <c r="G43" i="9"/>
  <c r="G115" i="9"/>
  <c r="H115" i="9"/>
  <c r="D116" i="9"/>
  <c r="E116" i="9"/>
  <c r="G44" i="9" l="1"/>
  <c r="D44" i="9"/>
  <c r="E44" i="9" s="1"/>
  <c r="B45" i="9"/>
  <c r="F44" i="9"/>
  <c r="C117" i="9"/>
  <c r="I117" i="9" s="1"/>
  <c r="B118" i="9"/>
  <c r="F118" i="9" s="1"/>
  <c r="H44" i="9"/>
  <c r="G116" i="9"/>
  <c r="H116" i="9"/>
  <c r="B119" i="9"/>
  <c r="F119" i="9" s="1"/>
  <c r="C118" i="9"/>
  <c r="E117" i="9"/>
  <c r="D117" i="9"/>
  <c r="F45" i="9" l="1"/>
  <c r="C119" i="9" s="1"/>
  <c r="H45" i="9"/>
  <c r="B46" i="9"/>
  <c r="D45" i="9"/>
  <c r="E45" i="9" s="1"/>
  <c r="I118" i="9"/>
  <c r="F46" i="9"/>
  <c r="G45" i="9"/>
  <c r="G46" i="9" s="1"/>
  <c r="I119" i="9"/>
  <c r="B120" i="9"/>
  <c r="F120" i="9" s="1"/>
  <c r="G117" i="9"/>
  <c r="H117" i="9"/>
  <c r="D118" i="9"/>
  <c r="E118" i="9"/>
  <c r="C120" i="9" l="1"/>
  <c r="H46" i="9"/>
  <c r="B47" i="9"/>
  <c r="D46" i="9"/>
  <c r="E46" i="9" s="1"/>
  <c r="G47" i="9" s="1"/>
  <c r="G118" i="9"/>
  <c r="H118" i="9"/>
  <c r="I120" i="9"/>
  <c r="E119" i="9"/>
  <c r="D119" i="9"/>
  <c r="B48" i="9" l="1"/>
  <c r="D47" i="9"/>
  <c r="E47" i="9" s="1"/>
  <c r="B121" i="9"/>
  <c r="F121" i="9" s="1"/>
  <c r="H47" i="9"/>
  <c r="F47" i="9"/>
  <c r="H119" i="9"/>
  <c r="G119" i="9"/>
  <c r="B122" i="9"/>
  <c r="F122" i="9" s="1"/>
  <c r="D120" i="9"/>
  <c r="E120" i="9"/>
  <c r="G48" i="9" l="1"/>
  <c r="B49" i="9"/>
  <c r="D48" i="9"/>
  <c r="E48" i="9" s="1"/>
  <c r="F48" i="9"/>
  <c r="C121" i="9"/>
  <c r="I121" i="9" s="1"/>
  <c r="H48" i="9"/>
  <c r="G120" i="9"/>
  <c r="H120" i="9"/>
  <c r="B123" i="9"/>
  <c r="F123" i="9" s="1"/>
  <c r="E121" i="9"/>
  <c r="D121" i="9"/>
  <c r="H49" i="9" l="1"/>
  <c r="F49" i="9"/>
  <c r="C122" i="9"/>
  <c r="I122" i="9" s="1"/>
  <c r="B50" i="9"/>
  <c r="D49" i="9"/>
  <c r="E49" i="9" s="1"/>
  <c r="G49" i="9"/>
  <c r="B124" i="9"/>
  <c r="F124" i="9" s="1"/>
  <c r="G121" i="9"/>
  <c r="H121" i="9"/>
  <c r="D122" i="9"/>
  <c r="E122" i="9"/>
  <c r="G50" i="9" l="1"/>
  <c r="D50" i="9"/>
  <c r="E50" i="9" s="1"/>
  <c r="B51" i="9"/>
  <c r="F50" i="9"/>
  <c r="C123" i="9"/>
  <c r="I123" i="9" s="1"/>
  <c r="H50" i="9"/>
  <c r="H51" i="9" s="1"/>
  <c r="B125" i="9"/>
  <c r="F125" i="9" s="1"/>
  <c r="G122" i="9"/>
  <c r="H122" i="9"/>
  <c r="E123" i="9"/>
  <c r="D123" i="9"/>
  <c r="G51" i="9" l="1"/>
  <c r="F51" i="9"/>
  <c r="C124" i="9"/>
  <c r="I124" i="9" s="1"/>
  <c r="D51" i="9"/>
  <c r="E51" i="9" s="1"/>
  <c r="B52" i="9"/>
  <c r="G123" i="9"/>
  <c r="H123" i="9"/>
  <c r="D124" i="9"/>
  <c r="E124" i="9"/>
  <c r="F52" i="9" l="1"/>
  <c r="D52" i="9"/>
  <c r="E52" i="9" s="1"/>
  <c r="B53" i="9"/>
  <c r="B127" i="9" s="1"/>
  <c r="F127" i="9" s="1"/>
  <c r="B126" i="9"/>
  <c r="F126" i="9" s="1"/>
  <c r="F53" i="9"/>
  <c r="C125" i="9"/>
  <c r="I125" i="9" s="1"/>
  <c r="H52" i="9"/>
  <c r="C126" i="9"/>
  <c r="G52" i="9"/>
  <c r="H124" i="9"/>
  <c r="G124" i="9"/>
  <c r="E125" i="9"/>
  <c r="D125" i="9"/>
  <c r="I126" i="9" l="1"/>
  <c r="G53" i="9"/>
  <c r="C127" i="9"/>
  <c r="I127" i="9" s="1"/>
  <c r="H53" i="9"/>
  <c r="D53" i="9"/>
  <c r="E53" i="9" s="1"/>
  <c r="B54" i="9"/>
  <c r="B128" i="9" s="1"/>
  <c r="F128" i="9" s="1"/>
  <c r="H125" i="9"/>
  <c r="G125" i="9"/>
  <c r="D126" i="9"/>
  <c r="E126" i="9"/>
  <c r="F54" i="9" l="1"/>
  <c r="C128" i="9" s="1"/>
  <c r="G54" i="9"/>
  <c r="B55" i="9"/>
  <c r="D54" i="9"/>
  <c r="E54" i="9" s="1"/>
  <c r="G55" i="9" s="1"/>
  <c r="H54" i="9"/>
  <c r="H55" i="9" s="1"/>
  <c r="I128" i="9"/>
  <c r="G126" i="9"/>
  <c r="H126" i="9"/>
  <c r="B129" i="9"/>
  <c r="F129" i="9" s="1"/>
  <c r="E127" i="9"/>
  <c r="D127" i="9"/>
  <c r="F55" i="9" l="1"/>
  <c r="B56" i="9"/>
  <c r="D55" i="9"/>
  <c r="E55" i="9" s="1"/>
  <c r="H127" i="9"/>
  <c r="G127" i="9"/>
  <c r="B130" i="9"/>
  <c r="F130" i="9" s="1"/>
  <c r="D128" i="9"/>
  <c r="E128" i="9"/>
  <c r="D56" i="9" l="1"/>
  <c r="E56" i="9" s="1"/>
  <c r="B57" i="9"/>
  <c r="F56" i="9"/>
  <c r="H56" i="9"/>
  <c r="C129" i="9"/>
  <c r="I129" i="9" s="1"/>
  <c r="G56" i="9"/>
  <c r="G57" i="9" s="1"/>
  <c r="H128" i="9"/>
  <c r="G128" i="9"/>
  <c r="B131" i="9"/>
  <c r="F131" i="9" s="1"/>
  <c r="E129" i="9"/>
  <c r="D129" i="9"/>
  <c r="B58" i="9" l="1"/>
  <c r="D57" i="9"/>
  <c r="E57" i="9" s="1"/>
  <c r="H57" i="9"/>
  <c r="F57" i="9"/>
  <c r="G58" i="9" s="1"/>
  <c r="C130" i="9"/>
  <c r="I130" i="9" s="1"/>
  <c r="B132" i="9"/>
  <c r="F132" i="9" s="1"/>
  <c r="C131" i="9"/>
  <c r="I131" i="9" s="1"/>
  <c r="G129" i="9"/>
  <c r="H129" i="9"/>
  <c r="D130" i="9"/>
  <c r="E130" i="9"/>
  <c r="F58" i="9" l="1"/>
  <c r="H58" i="9"/>
  <c r="B59" i="9"/>
  <c r="D58" i="9"/>
  <c r="E58" i="9" s="1"/>
  <c r="G59" i="9" s="1"/>
  <c r="G130" i="9"/>
  <c r="H130" i="9"/>
  <c r="B133" i="9"/>
  <c r="F133" i="9" s="1"/>
  <c r="E131" i="9"/>
  <c r="D131" i="9"/>
  <c r="H59" i="9" l="1"/>
  <c r="D59" i="9"/>
  <c r="E59" i="9" s="1"/>
  <c r="B60" i="9"/>
  <c r="F59" i="9"/>
  <c r="C132" i="9"/>
  <c r="I132" i="9" s="1"/>
  <c r="H131" i="9"/>
  <c r="G131" i="9"/>
  <c r="D132" i="9"/>
  <c r="E132" i="9"/>
  <c r="F60" i="9" l="1"/>
  <c r="C133" i="9"/>
  <c r="I133" i="9" s="1"/>
  <c r="H60" i="9"/>
  <c r="B61" i="9"/>
  <c r="D60" i="9"/>
  <c r="E60" i="9" s="1"/>
  <c r="B134" i="9"/>
  <c r="F134" i="9" s="1"/>
  <c r="G60" i="9"/>
  <c r="G61" i="9" s="1"/>
  <c r="C134" i="9"/>
  <c r="G132" i="9"/>
  <c r="H132" i="9"/>
  <c r="B135" i="9"/>
  <c r="F135" i="9" s="1"/>
  <c r="E133" i="9"/>
  <c r="D133" i="9"/>
  <c r="D61" i="9" l="1"/>
  <c r="E61" i="9" s="1"/>
  <c r="B62" i="9"/>
  <c r="I134" i="9"/>
  <c r="H61" i="9"/>
  <c r="F61" i="9"/>
  <c r="G133" i="9"/>
  <c r="H133" i="9"/>
  <c r="D134" i="9"/>
  <c r="E134" i="9"/>
  <c r="F62" i="9" l="1"/>
  <c r="C135" i="9"/>
  <c r="I135" i="9" s="1"/>
  <c r="H62" i="9"/>
  <c r="B63" i="9"/>
  <c r="D62" i="9"/>
  <c r="E62" i="9" s="1"/>
  <c r="B136" i="9"/>
  <c r="F136" i="9" s="1"/>
  <c r="G62" i="9"/>
  <c r="G63" i="9" s="1"/>
  <c r="B137" i="9"/>
  <c r="F137" i="9" s="1"/>
  <c r="H134" i="9"/>
  <c r="G134" i="9"/>
  <c r="E135" i="9"/>
  <c r="D135" i="9"/>
  <c r="D63" i="9" l="1"/>
  <c r="E63" i="9" s="1"/>
  <c r="B64" i="9"/>
  <c r="H63" i="9"/>
  <c r="F63" i="9"/>
  <c r="C136" i="9"/>
  <c r="I136" i="9" s="1"/>
  <c r="H135" i="9"/>
  <c r="G135" i="9"/>
  <c r="B138" i="9"/>
  <c r="F138" i="9" s="1"/>
  <c r="D136" i="9"/>
  <c r="E136" i="9"/>
  <c r="H64" i="9" l="1"/>
  <c r="F64" i="9"/>
  <c r="C137" i="9"/>
  <c r="I137" i="9" s="1"/>
  <c r="B65" i="9"/>
  <c r="D64" i="9"/>
  <c r="E64" i="9" s="1"/>
  <c r="G64" i="9"/>
  <c r="G136" i="9"/>
  <c r="H136" i="9"/>
  <c r="B139" i="9"/>
  <c r="F139" i="9" s="1"/>
  <c r="C138" i="9"/>
  <c r="I138" i="9" s="1"/>
  <c r="E137" i="9"/>
  <c r="D137" i="9"/>
  <c r="G65" i="9" l="1"/>
  <c r="D65" i="9"/>
  <c r="E65" i="9" s="1"/>
  <c r="B66" i="9"/>
  <c r="F65" i="9"/>
  <c r="H65" i="9"/>
  <c r="H137" i="9"/>
  <c r="G137" i="9"/>
  <c r="D138" i="9"/>
  <c r="E138" i="9"/>
  <c r="G66" i="9" l="1"/>
  <c r="D66" i="9"/>
  <c r="E66" i="9" s="1"/>
  <c r="B67" i="9"/>
  <c r="D67" i="9" s="1"/>
  <c r="E67" i="9" s="1"/>
  <c r="B140" i="9"/>
  <c r="F140" i="9" s="1"/>
  <c r="H66" i="9"/>
  <c r="F66" i="9"/>
  <c r="C139" i="9"/>
  <c r="I139" i="9" s="1"/>
  <c r="G138" i="9"/>
  <c r="H138" i="9"/>
  <c r="B141" i="9"/>
  <c r="F141" i="9" s="1"/>
  <c r="E139" i="9"/>
  <c r="D139" i="9"/>
  <c r="G67" i="9" l="1"/>
  <c r="H67" i="9"/>
  <c r="B68" i="9"/>
  <c r="B69" i="9" s="1"/>
  <c r="F67" i="9"/>
  <c r="C141" i="9" s="1"/>
  <c r="I141" i="9" s="1"/>
  <c r="C140" i="9"/>
  <c r="I140" i="9" s="1"/>
  <c r="G139" i="9"/>
  <c r="H139" i="9"/>
  <c r="D140" i="9"/>
  <c r="E140" i="9"/>
  <c r="H68" i="9" l="1"/>
  <c r="B142" i="9"/>
  <c r="F142" i="9" s="1"/>
  <c r="D68" i="9"/>
  <c r="E68" i="9" s="1"/>
  <c r="F68" i="9"/>
  <c r="C142" i="9" s="1"/>
  <c r="G68" i="9"/>
  <c r="G140" i="9"/>
  <c r="H140" i="9"/>
  <c r="B70" i="9"/>
  <c r="D69" i="9"/>
  <c r="E69" i="9" s="1"/>
  <c r="B143" i="9"/>
  <c r="F143" i="9" s="1"/>
  <c r="E141" i="9"/>
  <c r="D141" i="9"/>
  <c r="I142" i="9" l="1"/>
  <c r="G69" i="9"/>
  <c r="H69" i="9"/>
  <c r="F69" i="9"/>
  <c r="C143" i="9" s="1"/>
  <c r="I143" i="9" s="1"/>
  <c r="B71" i="9"/>
  <c r="D70" i="9"/>
  <c r="E70" i="9" s="1"/>
  <c r="B144" i="9"/>
  <c r="F144" i="9" s="1"/>
  <c r="G141" i="9"/>
  <c r="H141" i="9"/>
  <c r="D142" i="9"/>
  <c r="E142" i="9"/>
  <c r="G70" i="9" l="1"/>
  <c r="H70" i="9"/>
  <c r="F70" i="9"/>
  <c r="C144" i="9" s="1"/>
  <c r="I144" i="9" s="1"/>
  <c r="H71" i="9"/>
  <c r="G142" i="9"/>
  <c r="H142" i="9"/>
  <c r="B72" i="9"/>
  <c r="D71" i="9"/>
  <c r="E71" i="9" s="1"/>
  <c r="B145" i="9"/>
  <c r="F145" i="9" s="1"/>
  <c r="F71" i="9"/>
  <c r="C145" i="9" s="1"/>
  <c r="E143" i="9"/>
  <c r="D143" i="9"/>
  <c r="G71" i="9" l="1"/>
  <c r="I145" i="9"/>
  <c r="B73" i="9"/>
  <c r="D72" i="9"/>
  <c r="E72" i="9" s="1"/>
  <c r="B146" i="9"/>
  <c r="F146" i="9" s="1"/>
  <c r="G143" i="9"/>
  <c r="H143" i="9"/>
  <c r="G72" i="9"/>
  <c r="F72" i="9"/>
  <c r="C146" i="9" s="1"/>
  <c r="H72" i="9"/>
  <c r="D144" i="9"/>
  <c r="E144" i="9"/>
  <c r="G144" i="9" l="1"/>
  <c r="H144" i="9"/>
  <c r="I146" i="9"/>
  <c r="B74" i="9"/>
  <c r="D73" i="9"/>
  <c r="E73" i="9" s="1"/>
  <c r="B147" i="9"/>
  <c r="F147" i="9" s="1"/>
  <c r="H73" i="9"/>
  <c r="F73" i="9"/>
  <c r="C147" i="9" s="1"/>
  <c r="G73" i="9"/>
  <c r="E145" i="9"/>
  <c r="D145" i="9"/>
  <c r="I147" i="9" l="1"/>
  <c r="G145" i="9"/>
  <c r="H145" i="9"/>
  <c r="F74" i="9"/>
  <c r="B75" i="9"/>
  <c r="D74" i="9"/>
  <c r="E74" i="9" s="1"/>
  <c r="B148" i="9"/>
  <c r="F148" i="9" s="1"/>
  <c r="G74" i="9"/>
  <c r="H74" i="9"/>
  <c r="D146" i="9"/>
  <c r="E146" i="9"/>
  <c r="G75" i="9" l="1"/>
  <c r="H75" i="9"/>
  <c r="B76" i="9"/>
  <c r="D75" i="9"/>
  <c r="E75" i="9" s="1"/>
  <c r="B149" i="9"/>
  <c r="F149" i="9" s="1"/>
  <c r="F75" i="9"/>
  <c r="G146" i="9"/>
  <c r="H146" i="9"/>
  <c r="C148" i="9"/>
  <c r="I148" i="9" s="1"/>
  <c r="E147" i="9"/>
  <c r="D147" i="9"/>
  <c r="F76" i="9" l="1"/>
  <c r="C150" i="9" s="1"/>
  <c r="G76" i="9"/>
  <c r="H76" i="9"/>
  <c r="C149" i="9"/>
  <c r="I149" i="9" s="1"/>
  <c r="G147" i="9"/>
  <c r="H147" i="9"/>
  <c r="B77" i="9"/>
  <c r="D76" i="9"/>
  <c r="E76" i="9" s="1"/>
  <c r="B150" i="9"/>
  <c r="F150" i="9" s="1"/>
  <c r="D148" i="9"/>
  <c r="E148" i="9"/>
  <c r="I150" i="9" l="1"/>
  <c r="G77" i="9"/>
  <c r="H77" i="9"/>
  <c r="F77" i="9"/>
  <c r="C151" i="9" s="1"/>
  <c r="B78" i="9"/>
  <c r="D77" i="9"/>
  <c r="E77" i="9" s="1"/>
  <c r="B151" i="9"/>
  <c r="F151" i="9" s="1"/>
  <c r="G148" i="9"/>
  <c r="H148" i="9"/>
  <c r="E149" i="9"/>
  <c r="D149" i="9"/>
  <c r="F78" i="9" l="1"/>
  <c r="C152" i="9" s="1"/>
  <c r="G78" i="9"/>
  <c r="H78" i="9"/>
  <c r="I151" i="9"/>
  <c r="B79" i="9"/>
  <c r="D78" i="9"/>
  <c r="E78" i="9" s="1"/>
  <c r="B152" i="9"/>
  <c r="F152" i="9" s="1"/>
  <c r="H149" i="9"/>
  <c r="G149" i="9"/>
  <c r="D150" i="9"/>
  <c r="E150" i="9"/>
  <c r="G79" i="9" l="1"/>
  <c r="G150" i="9"/>
  <c r="H150" i="9"/>
  <c r="B80" i="9"/>
  <c r="D79" i="9"/>
  <c r="E79" i="9" s="1"/>
  <c r="B153" i="9"/>
  <c r="F153" i="9" s="1"/>
  <c r="I152" i="9"/>
  <c r="F79" i="9"/>
  <c r="F80" i="9" s="1"/>
  <c r="H79" i="9"/>
  <c r="E151" i="9"/>
  <c r="D151" i="9"/>
  <c r="H80" i="9" l="1"/>
  <c r="G80" i="9"/>
  <c r="C153" i="9"/>
  <c r="I153" i="9" s="1"/>
  <c r="B81" i="9"/>
  <c r="D80" i="9"/>
  <c r="E80" i="9" s="1"/>
  <c r="B154" i="9"/>
  <c r="F154" i="9" s="1"/>
  <c r="G151" i="9"/>
  <c r="H151" i="9"/>
  <c r="C154" i="9"/>
  <c r="D152" i="9"/>
  <c r="E152" i="9"/>
  <c r="F81" i="9" l="1"/>
  <c r="C155" i="9" s="1"/>
  <c r="I154" i="9"/>
  <c r="H81" i="9"/>
  <c r="B82" i="9"/>
  <c r="D81" i="9"/>
  <c r="E81" i="9" s="1"/>
  <c r="B155" i="9"/>
  <c r="F155" i="9" s="1"/>
  <c r="G152" i="9"/>
  <c r="H152" i="9"/>
  <c r="G81" i="9"/>
  <c r="E153" i="9"/>
  <c r="D153" i="9"/>
  <c r="H82" i="9" l="1"/>
  <c r="G82" i="9"/>
  <c r="F82" i="9"/>
  <c r="C156" i="9" s="1"/>
  <c r="G153" i="9"/>
  <c r="H153" i="9"/>
  <c r="I155" i="9"/>
  <c r="B83" i="9"/>
  <c r="D82" i="9"/>
  <c r="E82" i="9" s="1"/>
  <c r="B156" i="9"/>
  <c r="F156" i="9" s="1"/>
  <c r="D154" i="9"/>
  <c r="E154" i="9"/>
  <c r="I156" i="9" l="1"/>
  <c r="G83" i="9"/>
  <c r="F83" i="9"/>
  <c r="C157" i="9" s="1"/>
  <c r="H83" i="9"/>
  <c r="G154" i="9"/>
  <c r="H154" i="9"/>
  <c r="B84" i="9"/>
  <c r="D83" i="9"/>
  <c r="E83" i="9" s="1"/>
  <c r="B157" i="9"/>
  <c r="F157" i="9" s="1"/>
  <c r="E155" i="9"/>
  <c r="D155" i="9"/>
  <c r="G84" i="9" l="1"/>
  <c r="F84" i="9"/>
  <c r="C158" i="9" s="1"/>
  <c r="B85" i="9"/>
  <c r="D84" i="9"/>
  <c r="E84" i="9" s="1"/>
  <c r="B158" i="9"/>
  <c r="F158" i="9" s="1"/>
  <c r="G155" i="9"/>
  <c r="H155" i="9"/>
  <c r="I157" i="9"/>
  <c r="H84" i="9"/>
  <c r="D156" i="9"/>
  <c r="E156" i="9"/>
  <c r="G85" i="9" l="1"/>
  <c r="F85" i="9"/>
  <c r="C159" i="9" s="1"/>
  <c r="I158" i="9"/>
  <c r="H85" i="9"/>
  <c r="G156" i="9"/>
  <c r="H156" i="9"/>
  <c r="D85" i="9"/>
  <c r="E85" i="9" s="1"/>
  <c r="B159" i="9"/>
  <c r="F159" i="9" s="1"/>
  <c r="B86" i="9"/>
  <c r="E157" i="9"/>
  <c r="D157" i="9"/>
  <c r="G86" i="9" l="1"/>
  <c r="I159" i="9"/>
  <c r="G157" i="9"/>
  <c r="H157" i="9"/>
  <c r="H86" i="9"/>
  <c r="F86" i="9"/>
  <c r="C160" i="9" s="1"/>
  <c r="B160" i="9"/>
  <c r="F160" i="9" s="1"/>
  <c r="D86" i="9"/>
  <c r="E86" i="9" s="1"/>
  <c r="D158" i="9"/>
  <c r="E158" i="9"/>
  <c r="H158" i="9" l="1"/>
  <c r="G158" i="9"/>
  <c r="E160" i="9"/>
  <c r="E159" i="9"/>
  <c r="D160" i="9"/>
  <c r="D159" i="9"/>
  <c r="G160" i="9" l="1"/>
  <c r="G159" i="9"/>
  <c r="H159" i="9"/>
  <c r="C162" i="9" l="1"/>
  <c r="C166" i="9" s="1"/>
</calcChain>
</file>

<file path=xl/sharedStrings.xml><?xml version="1.0" encoding="utf-8"?>
<sst xmlns="http://schemas.openxmlformats.org/spreadsheetml/2006/main" count="277" uniqueCount="209">
  <si>
    <t>Time (t)</t>
  </si>
  <si>
    <t>Discount Factor</t>
  </si>
  <si>
    <t>Premium Annuity EPV</t>
  </si>
  <si>
    <t>Death Benefit EPV</t>
  </si>
  <si>
    <t>Expenses</t>
  </si>
  <si>
    <t>NOTE TO CANDIDATES:</t>
  </si>
  <si>
    <t>This question has parts (a), (b), (c), and (d).</t>
  </si>
  <si>
    <t xml:space="preserve">A = </t>
  </si>
  <si>
    <t xml:space="preserve">B = </t>
  </si>
  <si>
    <t>c =</t>
  </si>
  <si>
    <t xml:space="preserve"> </t>
  </si>
  <si>
    <t>h =</t>
  </si>
  <si>
    <t>EPV =</t>
  </si>
  <si>
    <t>Premium =</t>
  </si>
  <si>
    <t>(1) A greater force of transition to the Disabled state will reduce the chances of being in the Healthy state and hence the expected number of premium payments.  So the premium will need to be higher to compensate for the fewer expected number of premium payments.</t>
  </si>
  <si>
    <t>(2) The force of transition to the Dead state is higher from the Disabled state than from the Healthy state, hence there will now be a larger probability of death, increasing the EPV (Benefits) and hence the gross premium.</t>
  </si>
  <si>
    <t>You are using the following three state Markov model and associated forces of transition for x &gt;= 50 to model the life of an individual age 50. Probabilities are calculated using Euler's Forward Method with a step size of h = 1/12.</t>
  </si>
  <si>
    <t>ANSWER:</t>
  </si>
  <si>
    <t>You are using the above model to price a 500,000 fully discrete 5-year term life insurance policy issued to this individual at age 50. The death benefit is paid at the end of the month of death, and premiums are paid at the start of each month the individual is Healthy. You are also given:</t>
  </si>
  <si>
    <t>Your task is to profit test the contract using the following assumptions:</t>
  </si>
  <si>
    <t>(i)</t>
  </si>
  <si>
    <t>Mortality follows the Standard Ultimate Life Table. The mortality rates are given below.</t>
  </si>
  <si>
    <t>(ii)</t>
  </si>
  <si>
    <t>At the end of each of the first 10 years, 5% of the policies in force are assumed to lapse.</t>
  </si>
  <si>
    <t>(iii)</t>
  </si>
  <si>
    <t>Pre-contract expenses are 300.</t>
  </si>
  <si>
    <t>(iv)</t>
  </si>
  <si>
    <t>(v)</t>
  </si>
  <si>
    <t>Commission expenses are 5% of each gross premium.</t>
  </si>
  <si>
    <t>(vi)</t>
  </si>
  <si>
    <t>Reserves follow the schedule given in the table below.</t>
  </si>
  <si>
    <t>(vii)</t>
  </si>
  <si>
    <t>The insurer earns interest at 6% on its assets.</t>
  </si>
  <si>
    <t>(viii)</t>
  </si>
  <si>
    <t>The hurdle rate is 12%.</t>
  </si>
  <si>
    <t>(a)</t>
  </si>
  <si>
    <t xml:space="preserve">(i) </t>
  </si>
  <si>
    <t xml:space="preserve">(ii) </t>
  </si>
  <si>
    <t>Reserve at time t-1</t>
  </si>
  <si>
    <t>Premium</t>
  </si>
  <si>
    <t>Interest</t>
  </si>
  <si>
    <t>Expected cost of Claims</t>
  </si>
  <si>
    <t>Expected Reserve at t</t>
  </si>
  <si>
    <t>Profit Vector        (a) (i)</t>
  </si>
  <si>
    <t>Profit Signature      (a) (ii)</t>
  </si>
  <si>
    <t>Decrements</t>
  </si>
  <si>
    <t>Discount</t>
  </si>
  <si>
    <t>x</t>
  </si>
  <si>
    <t>(b)</t>
  </si>
  <si>
    <t>Calculate the NPV. Your answer should be 3440 to the nearest 10.</t>
  </si>
  <si>
    <t>(c)</t>
  </si>
  <si>
    <t>Calculate the profit margin.</t>
  </si>
  <si>
    <t>(d)</t>
  </si>
  <si>
    <t>It is not advisable to have negative emerging profit in the later years of the contract.  That requires the insurer to acquire additional cash from elsewhere, which may not be feasible.</t>
  </si>
  <si>
    <t>(e)</t>
  </si>
  <si>
    <t>Calculate the profit signature using zeroized reserves.</t>
  </si>
  <si>
    <t>This question has parts (a), (b), (c), (d) and (e).</t>
  </si>
  <si>
    <t>Question 58</t>
  </si>
  <si>
    <t xml:space="preserve">An insurer plans to issue a fully discrete 20-year term insurance contract to a lives age 70. The sum insured of 100,000 is payable at the end of the year of death. The gross premium for the contract is 3000. </t>
  </si>
  <si>
    <t>Your colleague states that as the NPV and profit margin meet the insurer's requirements, the product is ready for market. Critique this claim.</t>
  </si>
  <si>
    <r>
      <t xml:space="preserve">•  </t>
    </r>
    <r>
      <rPr>
        <i/>
        <sz val="12"/>
        <color rgb="FF000000"/>
        <rFont val="Times New Roman"/>
        <family val="1"/>
      </rPr>
      <t>i</t>
    </r>
    <r>
      <rPr>
        <i/>
        <vertAlign val="superscript"/>
        <sz val="12"/>
        <color rgb="FF000000"/>
        <rFont val="Times New Roman"/>
        <family val="1"/>
      </rPr>
      <t>(12)</t>
    </r>
    <r>
      <rPr>
        <sz val="12"/>
        <color rgb="FF000000"/>
        <rFont val="Times New Roman"/>
        <family val="1"/>
      </rPr>
      <t xml:space="preserve"> = 0.06</t>
    </r>
  </si>
  <si>
    <r>
      <t xml:space="preserve">Issue Expense; </t>
    </r>
    <r>
      <rPr>
        <b/>
        <sz val="12"/>
        <color rgb="FF000000"/>
        <rFont val="Times New Roman"/>
        <family val="1"/>
      </rPr>
      <t>Iss_exp</t>
    </r>
  </si>
  <si>
    <r>
      <t xml:space="preserve">Monthly Maintenance Expense; </t>
    </r>
    <r>
      <rPr>
        <b/>
        <sz val="12"/>
        <color rgb="FF000000"/>
        <rFont val="Times New Roman"/>
        <family val="1"/>
      </rPr>
      <t>Maint_exp</t>
    </r>
  </si>
  <si>
    <r>
      <t xml:space="preserve">Death Benefit Amount; </t>
    </r>
    <r>
      <rPr>
        <b/>
        <sz val="12"/>
        <color rgb="FF000000"/>
        <rFont val="Times New Roman"/>
        <family val="1"/>
      </rPr>
      <t>DB</t>
    </r>
  </si>
  <si>
    <r>
      <t xml:space="preserve">Nominal Interest Rate;
</t>
    </r>
    <r>
      <rPr>
        <b/>
        <sz val="12"/>
        <color rgb="FF000000"/>
        <rFont val="Times New Roman"/>
        <family val="1"/>
      </rPr>
      <t>I_12</t>
    </r>
  </si>
  <si>
    <t>Question 57</t>
  </si>
  <si>
    <r>
      <t xml:space="preserve">(a) Calculate          for </t>
    </r>
    <r>
      <rPr>
        <i/>
        <sz val="12"/>
        <color rgb="FF000000"/>
        <rFont val="Times New Roman"/>
        <family val="1"/>
      </rPr>
      <t>j</t>
    </r>
    <r>
      <rPr>
        <sz val="12"/>
        <color rgb="FF000000"/>
        <rFont val="Times New Roman"/>
        <family val="1"/>
      </rPr>
      <t xml:space="preserve"> = 0, 1, 2 and </t>
    </r>
    <r>
      <rPr>
        <i/>
        <sz val="12"/>
        <color rgb="FF000000"/>
        <rFont val="Times New Roman"/>
        <family val="1"/>
      </rPr>
      <t>t</t>
    </r>
    <r>
      <rPr>
        <sz val="12"/>
        <color rgb="FF000000"/>
        <rFont val="Times New Roman"/>
        <family val="1"/>
      </rPr>
      <t xml:space="preserve"> = 0, 1/12, 2/12, ... , 5 using the model and method described above.</t>
    </r>
  </si>
  <si>
    <t>(b) Calculate the EPV of the death benefit for this policy.</t>
  </si>
  <si>
    <t>(c) Calculate the monthly gross premium for this policy.</t>
  </si>
  <si>
    <t>Now suppose that you modify the force of transition associated with moving to the Disabled state so that                        for x &gt;= 50.</t>
  </si>
  <si>
    <t>(d) Give two reasons why this change will increase the monthly gross premium.</t>
  </si>
  <si>
    <r>
      <t xml:space="preserve">Premium Expense Rate; </t>
    </r>
    <r>
      <rPr>
        <b/>
        <sz val="12"/>
        <color theme="1"/>
        <rFont val="Times New Roman"/>
        <family val="1"/>
      </rPr>
      <t>Pr_exp</t>
    </r>
  </si>
  <si>
    <r>
      <t xml:space="preserve">Hurdle Rate; 
</t>
    </r>
    <r>
      <rPr>
        <b/>
        <sz val="12"/>
        <color theme="1"/>
        <rFont val="Times New Roman"/>
        <family val="1"/>
      </rPr>
      <t>i_h</t>
    </r>
  </si>
  <si>
    <r>
      <t xml:space="preserve">Earned Interest Rate; </t>
    </r>
    <r>
      <rPr>
        <b/>
        <sz val="12"/>
        <color theme="1"/>
        <rFont val="Times New Roman"/>
        <family val="1"/>
      </rPr>
      <t>i_t</t>
    </r>
  </si>
  <si>
    <r>
      <t xml:space="preserve">Inflation Rate;
</t>
    </r>
    <r>
      <rPr>
        <b/>
        <sz val="12"/>
        <color theme="1"/>
        <rFont val="Times New Roman"/>
        <family val="1"/>
      </rPr>
      <t>i_j</t>
    </r>
  </si>
  <si>
    <r>
      <t>q</t>
    </r>
    <r>
      <rPr>
        <i/>
        <vertAlign val="subscript"/>
        <sz val="12"/>
        <color theme="1"/>
        <rFont val="Times New Roman"/>
        <family val="1"/>
      </rPr>
      <t>x</t>
    </r>
  </si>
  <si>
    <r>
      <t>w</t>
    </r>
    <r>
      <rPr>
        <i/>
        <vertAlign val="subscript"/>
        <sz val="12"/>
        <color theme="1"/>
        <rFont val="Times New Roman"/>
        <family val="1"/>
      </rPr>
      <t>x</t>
    </r>
  </si>
  <si>
    <r>
      <rPr>
        <i/>
        <vertAlign val="subscript"/>
        <sz val="12"/>
        <color theme="1"/>
        <rFont val="Times New Roman"/>
        <family val="1"/>
      </rPr>
      <t>t-1</t>
    </r>
    <r>
      <rPr>
        <i/>
        <sz val="12"/>
        <color theme="1"/>
        <rFont val="Times New Roman"/>
        <family val="1"/>
      </rPr>
      <t>p</t>
    </r>
    <r>
      <rPr>
        <i/>
        <vertAlign val="superscript"/>
        <sz val="12"/>
        <color theme="1"/>
        <rFont val="Times New Roman"/>
        <family val="1"/>
      </rPr>
      <t>(t)</t>
    </r>
    <r>
      <rPr>
        <i/>
        <vertAlign val="subscript"/>
        <sz val="12"/>
        <color theme="1"/>
        <rFont val="Times New Roman"/>
        <family val="1"/>
      </rPr>
      <t>70</t>
    </r>
  </si>
  <si>
    <r>
      <t>v</t>
    </r>
    <r>
      <rPr>
        <vertAlign val="superscript"/>
        <sz val="12"/>
        <color rgb="FF000000"/>
        <rFont val="Times New Roman"/>
        <family val="1"/>
      </rPr>
      <t xml:space="preserve">t </t>
    </r>
    <r>
      <rPr>
        <sz val="12"/>
        <color rgb="FF000000"/>
        <rFont val="Times New Roman"/>
        <family val="1"/>
      </rPr>
      <t>at i_h</t>
    </r>
  </si>
  <si>
    <r>
      <t>Calculate the profit vector Pr</t>
    </r>
    <r>
      <rPr>
        <vertAlign val="subscript"/>
        <sz val="12"/>
        <color theme="1"/>
        <rFont val="Times New Roman"/>
        <family val="1"/>
      </rPr>
      <t>t</t>
    </r>
    <r>
      <rPr>
        <sz val="12"/>
        <color theme="1"/>
        <rFont val="Times New Roman"/>
        <family val="1"/>
      </rPr>
      <t xml:space="preserve"> for times t = 0, 1, 2, …, 20. </t>
    </r>
  </si>
  <si>
    <r>
      <t>Calculate the profit signature Π</t>
    </r>
    <r>
      <rPr>
        <vertAlign val="subscript"/>
        <sz val="12"/>
        <color theme="1"/>
        <rFont val="Times New Roman"/>
        <family val="1"/>
      </rPr>
      <t>t</t>
    </r>
    <r>
      <rPr>
        <sz val="12"/>
        <color theme="1"/>
        <rFont val="Times New Roman"/>
        <family val="1"/>
      </rPr>
      <t xml:space="preserve"> for times t = 0, 1, 2, …, 20.</t>
    </r>
  </si>
  <si>
    <t>•  Expenses consist of 500 at issue, and a maintenance expense of 5 at the start of each month the policy is in force.</t>
  </si>
  <si>
    <t>Maintenance expenses are 100 at the start of the first year and increase at an inflation rate of 2.5% per year.</t>
  </si>
  <si>
    <t>Show that the NPV using zeroized reserves is 2800 to the nearest 10.</t>
  </si>
  <si>
    <t>Avf</t>
  </si>
  <si>
    <t>Avc</t>
  </si>
  <si>
    <t>AV</t>
  </si>
  <si>
    <t>SC</t>
  </si>
  <si>
    <t>CV</t>
  </si>
  <si>
    <t>AV B</t>
  </si>
  <si>
    <t>Age</t>
  </si>
  <si>
    <t>Year</t>
  </si>
  <si>
    <t>Mort Rate</t>
  </si>
  <si>
    <t>DB</t>
  </si>
  <si>
    <t>Premiums</t>
  </si>
  <si>
    <t>iG</t>
  </si>
  <si>
    <t>IC</t>
  </si>
  <si>
    <t>Cor Fact</t>
  </si>
  <si>
    <t>A Type A universal life has the following characteristics:</t>
  </si>
  <si>
    <t xml:space="preserve">   - The issue age is 60. </t>
  </si>
  <si>
    <t xml:space="preserve">   - The face amount is 50,000.</t>
  </si>
  <si>
    <t xml:space="preserve">   - The following expenses at the beginning of each year</t>
  </si>
  <si>
    <t xml:space="preserve">      - 20% of premium in year 1</t>
  </si>
  <si>
    <t xml:space="preserve">      - 8% of premium in years 2-10</t>
  </si>
  <si>
    <t xml:space="preserve">      - 0% of premium thereafter</t>
  </si>
  <si>
    <t xml:space="preserve">      - 25 per policy</t>
  </si>
  <si>
    <t xml:space="preserve">   - Cost of insurance is 120% of the mortality rates in the Standard Ultimate Mortality Model.  </t>
  </si>
  <si>
    <t xml:space="preserve">     The mortality rates in the Standard Ultimate Mortality Model are listed in Column M.</t>
  </si>
  <si>
    <t xml:space="preserve">   - There is a surrender charge which is equal to 40 per 1000 of face amount in the first year.</t>
  </si>
  <si>
    <t>AV at age 90 is =&gt;</t>
  </si>
  <si>
    <t>DB at end of 15th year =&gt;</t>
  </si>
  <si>
    <t>DB at end of 20th year =&gt;</t>
  </si>
  <si>
    <t>DB at end of 25th year =&gt;</t>
  </si>
  <si>
    <t>CV at end of 1st year =&gt;</t>
  </si>
  <si>
    <t>CV at end of 2nd year =&gt;</t>
  </si>
  <si>
    <t>Annual premium =&gt;</t>
  </si>
  <si>
    <t>Year of termination =&gt;</t>
  </si>
  <si>
    <t>This question has parts (a), (b), (c), (d), (e), (f), (g) and (h).</t>
  </si>
  <si>
    <t>Question 59</t>
  </si>
  <si>
    <r>
      <t xml:space="preserve">   - i</t>
    </r>
    <r>
      <rPr>
        <vertAlign val="subscript"/>
        <sz val="12"/>
        <color theme="1"/>
        <rFont val="Calibri"/>
        <family val="2"/>
        <scheme val="minor"/>
      </rPr>
      <t>q</t>
    </r>
    <r>
      <rPr>
        <sz val="12"/>
        <color theme="1"/>
        <rFont val="Calibri"/>
        <family val="2"/>
        <scheme val="minor"/>
      </rPr>
      <t xml:space="preserve"> = 0.03</t>
    </r>
  </si>
  <si>
    <r>
      <t xml:space="preserve">   - i</t>
    </r>
    <r>
      <rPr>
        <vertAlign val="subscript"/>
        <sz val="12"/>
        <color theme="1"/>
        <rFont val="Calibri"/>
        <family val="2"/>
        <scheme val="minor"/>
      </rPr>
      <t>c</t>
    </r>
    <r>
      <rPr>
        <sz val="12"/>
        <color theme="1"/>
        <rFont val="Calibri"/>
        <family val="2"/>
        <scheme val="minor"/>
      </rPr>
      <t xml:space="preserve"> = 0.05</t>
    </r>
  </si>
  <si>
    <t>Please do not insert any columns between Column A and Column T. You may add columns after Column T.</t>
  </si>
  <si>
    <t>Do not insert columns or rows into the table.</t>
  </si>
  <si>
    <r>
      <t>i</t>
    </r>
    <r>
      <rPr>
        <b/>
        <vertAlign val="subscript"/>
        <sz val="12"/>
        <color theme="1"/>
        <rFont val="Times New Roman"/>
        <family val="1"/>
      </rPr>
      <t>q</t>
    </r>
  </si>
  <si>
    <r>
      <t>i</t>
    </r>
    <r>
      <rPr>
        <b/>
        <vertAlign val="subscript"/>
        <sz val="12"/>
        <color theme="1"/>
        <rFont val="Times New Roman"/>
        <family val="1"/>
      </rPr>
      <t>c</t>
    </r>
  </si>
  <si>
    <t xml:space="preserve">      </t>
  </si>
  <si>
    <t xml:space="preserve">     There is no surrender charge in years after 10.</t>
  </si>
  <si>
    <t>Use the template in K2 through T32 to show your work.</t>
  </si>
  <si>
    <t xml:space="preserve">     In each year thereafter, the surrender charge reduces by 10% of the original surrender charge for each duration.</t>
  </si>
  <si>
    <t xml:space="preserve">   - If the insured is alive at age 90, the policy will terminate with the Account Value being paid at age 90.</t>
  </si>
  <si>
    <t xml:space="preserve">     In other words, in year 2 it is 90% of the original surrender charge, 80% in year 3, etc. until it is 10% in year 10.  </t>
  </si>
  <si>
    <t>Based on this premium pattern, state below the death benefit at the end of the following years:</t>
  </si>
  <si>
    <t xml:space="preserve">         </t>
  </si>
  <si>
    <t>Show your work for full credit.</t>
  </si>
  <si>
    <t xml:space="preserve">(c) </t>
  </si>
  <si>
    <t>Based on this premium pattern, state below the cash at the end of the following years:</t>
  </si>
  <si>
    <t>State the purpose of a surrender charge.</t>
  </si>
  <si>
    <t>Use goal seek to determine the level annual premium that must be paid so that the account value would be zero at age 90.</t>
  </si>
  <si>
    <t xml:space="preserve">       </t>
  </si>
  <si>
    <t>(f)</t>
  </si>
  <si>
    <t>(g)</t>
  </si>
  <si>
    <t>(h)</t>
  </si>
  <si>
    <t xml:space="preserve">        </t>
  </si>
  <si>
    <t>The corridor factors do not affect the premium. This can be seen by noting that the AV based on a death benefit using the corridor factors is always larger than without the corridor factors. This is reasonable because with the lower premium, the cash value times the corridor factor is always less than 50,000.</t>
  </si>
  <si>
    <t>Some universal life policies have a no lapse guarantee which could prevent a policy from terminating under the situation in part (g). Explain how a no-lapse guarantee works and the requirements for it to be effective.</t>
  </si>
  <si>
    <t>Assume that the insured pays a level annual premium of 1600 each year. The account value at age 90 will be 85,000 to the nearest 1000. Calculate the account value to the nearest 1.</t>
  </si>
  <si>
    <t xml:space="preserve">   - The corridor factor is 1.5 - (0.02)(Attained age at the beginning of the year minus 60) but never less than 1.</t>
  </si>
  <si>
    <t>For doing the Goal Seek</t>
  </si>
  <si>
    <t>The main purpose of the surrender charge is to ensure that the insurer receives enough to pay the acquisition charges if the policy were to lapse.</t>
  </si>
  <si>
    <t>Do the corridor factors affect the premium that must be paid under part (e)? Explain your answer.</t>
  </si>
  <si>
    <t>If this were a Type B universal life with all the same characteristics, charges and an annual premium as determined in part (e), determine the year in which the policy would terminate.</t>
  </si>
  <si>
    <t>&lt;&lt;&lt; Based on calculations in column AO</t>
  </si>
  <si>
    <t>A no lapse guarantee guarantees that if the policyholder pays a certain minimum premium each year, then the policy will stay in force even if the account value goes negative.  The guarantee could apply if the expense charges and/or the mortality charges increase sufficiently to make the minimum premium insufficient.</t>
  </si>
  <si>
    <t>This question has parts (a), (b), (c), (d), (e), and (f).</t>
  </si>
  <si>
    <t>Question 60</t>
  </si>
  <si>
    <t>An employer offers a Final Average Salary DB pension plan, with the following plan design:</t>
  </si>
  <si>
    <t>s_x</t>
  </si>
  <si>
    <t>l_x</t>
  </si>
  <si>
    <t>r_x</t>
  </si>
  <si>
    <t>w/ reduction</t>
  </si>
  <si>
    <t>w/o reduction</t>
  </si>
  <si>
    <t>n*S*alpha</t>
  </si>
  <si>
    <t>previous Salary</t>
  </si>
  <si>
    <t>Salary</t>
  </si>
  <si>
    <t>Show that the final salary if the employee retires at age 65 is 114,350 to the nearest 50. You should calculate the value to the nearest 1. You should calculate the value to the nearest 1</t>
  </si>
  <si>
    <t>The final average salary is over the last three years of employment.</t>
  </si>
  <si>
    <t>The projected unit credit method is used.</t>
  </si>
  <si>
    <t>On the valuation date, an employee is exactly age 55 with 25 years of service.</t>
  </si>
  <si>
    <t>Their salary in the year up to the valuation date is 100,000.</t>
  </si>
  <si>
    <t>No reduction is applied to the benefits if the employee retires before age 65.</t>
  </si>
  <si>
    <t>The benefit is payable as a monthly life annuity-due.</t>
  </si>
  <si>
    <t>The interest rate is i = 5% for all calculations.</t>
  </si>
  <si>
    <t xml:space="preserve">(a) </t>
  </si>
  <si>
    <t xml:space="preserve">(iv) </t>
  </si>
  <si>
    <t xml:space="preserve">(iii) </t>
  </si>
  <si>
    <t xml:space="preserve">(v) </t>
  </si>
  <si>
    <t xml:space="preserve">(vi) </t>
  </si>
  <si>
    <t xml:space="preserve">(vii) </t>
  </si>
  <si>
    <t xml:space="preserve">(viii) </t>
  </si>
  <si>
    <t xml:space="preserve">(ix) </t>
  </si>
  <si>
    <t>The accrual rate is α = 1.7%.</t>
  </si>
  <si>
    <t>Retirement</t>
  </si>
  <si>
    <t>Final</t>
  </si>
  <si>
    <t>Probability</t>
  </si>
  <si>
    <t>Actuarial</t>
  </si>
  <si>
    <t>Avg Salary</t>
  </si>
  <si>
    <t>Show that the actuarial liability for this employee is 389,600 to the nearest 100. You should calculate the value to the nearest 10.</t>
  </si>
  <si>
    <t xml:space="preserve">(b) </t>
  </si>
  <si>
    <t>Calculate the normal contribution for the employee at the valuation date.</t>
  </si>
  <si>
    <t xml:space="preserve">(d) </t>
  </si>
  <si>
    <t xml:space="preserve">Often plans will apply a reduction of benefits for early retirement. What is the purpose of these reductions, and how should they be calculated? </t>
  </si>
  <si>
    <t>Since it is not possible to retire at age 55.5, the normal contribution is simply 1/25 of the actuarial liability.</t>
  </si>
  <si>
    <t xml:space="preserve">(e) </t>
  </si>
  <si>
    <t>The purpose is to ensure that employees receive a fair result for the amount that they have contributed compared to other employees. It should ideally be calculated to make the actuarial value of their benefits at the date of retirement approximately equal to the present value of the benefits if they retire at the normal retirement age.</t>
  </si>
  <si>
    <t>Accural Rate</t>
  </si>
  <si>
    <t>Interest Rate</t>
  </si>
  <si>
    <t>Propose a schedule of reductions to make the benefits actuarially fair.</t>
  </si>
  <si>
    <t>What would the replacement rates be for each retirement age, using your proposed actuarial reductions? What would they be without any reductions?</t>
  </si>
  <si>
    <t xml:space="preserve">(f) </t>
  </si>
  <si>
    <t>Reduction</t>
  </si>
  <si>
    <t>Replacement Rate</t>
  </si>
  <si>
    <t>Years</t>
  </si>
  <si>
    <t>The service table is used and the salary scale is provided in part (a).</t>
  </si>
  <si>
    <t xml:space="preserve">(x) </t>
  </si>
  <si>
    <t>Monthly life annuity factors are provided in part (b).</t>
  </si>
  <si>
    <t>Liability</t>
  </si>
  <si>
    <t>Factor</t>
  </si>
  <si>
    <t xml:space="preserve"> Service Table</t>
  </si>
  <si>
    <t xml:space="preserve"> Annuity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</si>
</sst>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quot;$&quot;#,##0.00"/>
    <numFmt numFmtId="166" formatCode="0.0000"/>
    <numFmt numFmtId="167" formatCode="0.0%"/>
    <numFmt numFmtId="168" formatCode="0.0"/>
    <numFmt numFmtId="169" formatCode="0.000000"/>
    <numFmt numFmtId="170" formatCode="0.00000"/>
    <numFmt numFmtId="171" formatCode="_(* #,##0_);_(* \(#,##0\);_(* &quot;-&quot;??_);_(@_)"/>
  </numFmts>
  <fonts count="18" x14ac:knownFonts="1">
    <font>
      <sz val="12"/>
      <color theme="1"/>
      <name val="Calibri"/>
      <family val="2"/>
      <scheme val="minor"/>
    </font>
    <font>
      <sz val="10"/>
      <name val="Arial"/>
      <family val="2"/>
    </font>
    <font>
      <sz val="12"/>
      <color theme="1"/>
      <name val="Times New Roman"/>
      <family val="1"/>
    </font>
    <font>
      <b/>
      <sz val="12"/>
      <color theme="1"/>
      <name val="Times New Roman"/>
      <family val="1"/>
    </font>
    <font>
      <sz val="12"/>
      <color rgb="FF000000"/>
      <name val="Times New Roman"/>
      <family val="1"/>
    </font>
    <font>
      <i/>
      <sz val="12"/>
      <color rgb="FF000000"/>
      <name val="Times New Roman"/>
      <family val="1"/>
    </font>
    <font>
      <i/>
      <vertAlign val="superscript"/>
      <sz val="12"/>
      <color rgb="FF000000"/>
      <name val="Times New Roman"/>
      <family val="1"/>
    </font>
    <font>
      <b/>
      <sz val="12"/>
      <color rgb="FF000000"/>
      <name val="Times New Roman"/>
      <family val="1"/>
    </font>
    <font>
      <i/>
      <sz val="12"/>
      <color theme="1"/>
      <name val="Times New Roman"/>
      <family val="1"/>
    </font>
    <font>
      <i/>
      <vertAlign val="subscript"/>
      <sz val="12"/>
      <color theme="1"/>
      <name val="Times New Roman"/>
      <family val="1"/>
    </font>
    <font>
      <i/>
      <vertAlign val="superscript"/>
      <sz val="12"/>
      <color theme="1"/>
      <name val="Times New Roman"/>
      <family val="1"/>
    </font>
    <font>
      <vertAlign val="superscript"/>
      <sz val="12"/>
      <color rgb="FF000000"/>
      <name val="Times New Roman"/>
      <family val="1"/>
    </font>
    <font>
      <vertAlign val="subscript"/>
      <sz val="12"/>
      <color theme="1"/>
      <name val="Times New Roman"/>
      <family val="1"/>
    </font>
    <font>
      <sz val="12"/>
      <name val="Times New Roman"/>
      <family val="1"/>
    </font>
    <font>
      <sz val="11"/>
      <color theme="1"/>
      <name val="Calibri"/>
      <family val="2"/>
      <scheme val="minor"/>
    </font>
    <font>
      <sz val="12"/>
      <color theme="1"/>
      <name val="Calibri"/>
      <family val="2"/>
      <scheme val="minor"/>
    </font>
    <font>
      <vertAlign val="subscript"/>
      <sz val="12"/>
      <color theme="1"/>
      <name val="Calibri"/>
      <family val="2"/>
      <scheme val="minor"/>
    </font>
    <font>
      <b/>
      <vertAlign val="subscript"/>
      <sz val="12"/>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7E6E6"/>
        <bgColor rgb="FF000000"/>
      </patternFill>
    </fill>
    <fill>
      <patternFill patternType="solid">
        <fgColor rgb="FFD9D9D9"/>
        <bgColor rgb="FF000000"/>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4" fillId="0" borderId="0"/>
    <xf numFmtId="9" fontId="15" fillId="0" borderId="0" applyFont="0" applyFill="0" applyBorder="0" applyAlignment="0" applyProtection="0"/>
    <xf numFmtId="43" fontId="15" fillId="0" borderId="0" applyFont="0" applyFill="0" applyBorder="0" applyAlignment="0" applyProtection="0"/>
  </cellStyleXfs>
  <cellXfs count="248">
    <xf numFmtId="0" fontId="0" fillId="0" borderId="0" xfId="0"/>
    <xf numFmtId="0" fontId="2" fillId="3" borderId="0" xfId="0" applyFont="1" applyFill="1"/>
    <xf numFmtId="0" fontId="2" fillId="0" borderId="0" xfId="0" applyFont="1"/>
    <xf numFmtId="0" fontId="3" fillId="3" borderId="0" xfId="0" applyFont="1" applyFill="1"/>
    <xf numFmtId="0" fontId="2" fillId="3" borderId="0" xfId="0" applyFont="1" applyFill="1" applyAlignment="1">
      <alignment horizontal="center"/>
    </xf>
    <xf numFmtId="0" fontId="4" fillId="3" borderId="0" xfId="0" applyFont="1" applyFill="1" applyAlignment="1">
      <alignment horizontal="center" vertical="center"/>
    </xf>
    <xf numFmtId="0" fontId="4" fillId="3" borderId="0" xfId="0" applyFont="1" applyFill="1"/>
    <xf numFmtId="0" fontId="3" fillId="2" borderId="1" xfId="0" applyFont="1" applyFill="1" applyBorder="1" applyAlignment="1">
      <alignment horizontal="center"/>
    </xf>
    <xf numFmtId="0" fontId="3" fillId="2" borderId="1" xfId="0" applyFont="1" applyFill="1" applyBorder="1"/>
    <xf numFmtId="0" fontId="3" fillId="2" borderId="2" xfId="0" applyFont="1" applyFill="1" applyBorder="1"/>
    <xf numFmtId="0" fontId="2" fillId="2" borderId="4" xfId="0" applyFont="1" applyFill="1" applyBorder="1" applyAlignment="1">
      <alignment horizontal="center"/>
    </xf>
    <xf numFmtId="166" fontId="2" fillId="0" borderId="5" xfId="0" applyNumberFormat="1" applyFont="1" applyBorder="1" applyAlignment="1">
      <alignment horizontal="center"/>
    </xf>
    <xf numFmtId="166" fontId="3" fillId="0" borderId="5" xfId="0" applyNumberFormat="1" applyFont="1" applyBorder="1" applyAlignment="1">
      <alignment horizontal="center"/>
    </xf>
    <xf numFmtId="164" fontId="2" fillId="2" borderId="6" xfId="0" applyNumberFormat="1" applyFont="1" applyFill="1" applyBorder="1" applyAlignment="1">
      <alignment horizontal="center"/>
    </xf>
    <xf numFmtId="166" fontId="2" fillId="0" borderId="7" xfId="0" applyNumberFormat="1" applyFont="1" applyBorder="1" applyAlignment="1">
      <alignment horizontal="center"/>
    </xf>
    <xf numFmtId="166" fontId="3" fillId="0" borderId="7" xfId="0" applyNumberFormat="1" applyFont="1" applyBorder="1" applyAlignment="1">
      <alignment horizontal="center"/>
    </xf>
    <xf numFmtId="164" fontId="2" fillId="2" borderId="8" xfId="0" applyNumberFormat="1" applyFont="1" applyFill="1" applyBorder="1" applyAlignment="1">
      <alignment horizontal="center"/>
    </xf>
    <xf numFmtId="166" fontId="2" fillId="0" borderId="9" xfId="0" applyNumberFormat="1" applyFont="1" applyBorder="1" applyAlignment="1">
      <alignment horizontal="center"/>
    </xf>
    <xf numFmtId="166" fontId="3" fillId="0" borderId="9" xfId="0" applyNumberFormat="1" applyFont="1" applyBorder="1" applyAlignment="1">
      <alignment horizontal="center"/>
    </xf>
    <xf numFmtId="0" fontId="4" fillId="4" borderId="0" xfId="0" applyFont="1" applyFill="1"/>
    <xf numFmtId="0" fontId="4" fillId="5" borderId="2" xfId="0" applyFont="1" applyFill="1" applyBorder="1" applyAlignment="1">
      <alignment horizontal="center" vertical="center" wrapText="1"/>
    </xf>
    <xf numFmtId="1" fontId="4" fillId="5" borderId="3" xfId="0" applyNumberFormat="1" applyFont="1" applyFill="1" applyBorder="1" applyAlignment="1">
      <alignment horizontal="center" vertical="center"/>
    </xf>
    <xf numFmtId="9" fontId="4" fillId="5" borderId="3" xfId="0" applyNumberFormat="1" applyFont="1" applyFill="1" applyBorder="1" applyAlignment="1">
      <alignment horizontal="center" vertical="center"/>
    </xf>
    <xf numFmtId="0" fontId="2" fillId="0" borderId="0" xfId="0" applyFont="1" applyAlignment="1">
      <alignment horizontal="left" vertical="top"/>
    </xf>
    <xf numFmtId="0" fontId="3" fillId="2" borderId="4" xfId="0" applyFont="1" applyFill="1" applyBorder="1" applyAlignment="1">
      <alignment horizontal="center" vertical="center"/>
    </xf>
    <xf numFmtId="0" fontId="3" fillId="2" borderId="2" xfId="0" applyFont="1" applyFill="1" applyBorder="1" applyAlignment="1">
      <alignment vertical="center"/>
    </xf>
    <xf numFmtId="0" fontId="3" fillId="2" borderId="1" xfId="0" applyFont="1" applyFill="1" applyBorder="1" applyAlignment="1">
      <alignment vertical="center"/>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3" fillId="2" borderId="15" xfId="0" applyNumberFormat="1" applyFont="1" applyFill="1" applyBorder="1" applyAlignment="1">
      <alignment horizontal="center"/>
    </xf>
    <xf numFmtId="166" fontId="3" fillId="2" borderId="14" xfId="0" applyNumberFormat="1" applyFont="1" applyFill="1" applyBorder="1" applyAlignment="1">
      <alignment horizontal="center"/>
    </xf>
    <xf numFmtId="166" fontId="2" fillId="0" borderId="10" xfId="0" applyNumberFormat="1" applyFont="1" applyBorder="1" applyAlignment="1">
      <alignment horizontal="center"/>
    </xf>
    <xf numFmtId="2" fontId="2" fillId="0" borderId="7" xfId="0" applyNumberFormat="1" applyFont="1" applyBorder="1" applyAlignment="1">
      <alignment horizontal="center"/>
    </xf>
    <xf numFmtId="2" fontId="2" fillId="0" borderId="11" xfId="0" applyNumberFormat="1" applyFont="1" applyBorder="1" applyAlignment="1">
      <alignment horizontal="center"/>
    </xf>
    <xf numFmtId="164" fontId="3" fillId="2" borderId="1" xfId="0" applyNumberFormat="1" applyFont="1" applyFill="1" applyBorder="1" applyAlignment="1">
      <alignment horizontal="center"/>
    </xf>
    <xf numFmtId="166" fontId="3" fillId="2" borderId="3" xfId="0" applyNumberFormat="1" applyFont="1" applyFill="1" applyBorder="1" applyAlignment="1">
      <alignment horizontal="center"/>
    </xf>
    <xf numFmtId="166" fontId="2" fillId="0" borderId="12" xfId="0" applyNumberFormat="1" applyFont="1" applyBorder="1" applyAlignment="1">
      <alignment horizontal="center"/>
    </xf>
    <xf numFmtId="2" fontId="2" fillId="0" borderId="9" xfId="0" applyNumberFormat="1" applyFont="1" applyBorder="1" applyAlignment="1">
      <alignment horizontal="center"/>
    </xf>
    <xf numFmtId="2" fontId="2" fillId="0" borderId="13" xfId="0" applyNumberFormat="1" applyFont="1" applyBorder="1" applyAlignment="1">
      <alignment horizontal="center"/>
    </xf>
    <xf numFmtId="164" fontId="3" fillId="0" borderId="0" xfId="0" applyNumberFormat="1" applyFont="1" applyAlignment="1">
      <alignment horizontal="center"/>
    </xf>
    <xf numFmtId="166" fontId="3" fillId="0" borderId="0" xfId="0" applyNumberFormat="1" applyFont="1" applyAlignment="1">
      <alignment horizontal="center"/>
    </xf>
    <xf numFmtId="166" fontId="2" fillId="0" borderId="0" xfId="0" applyNumberFormat="1" applyFont="1" applyAlignment="1">
      <alignment horizontal="center"/>
    </xf>
    <xf numFmtId="2" fontId="2" fillId="0" borderId="0" xfId="0" applyNumberFormat="1" applyFont="1" applyAlignment="1">
      <alignment horizontal="center"/>
    </xf>
    <xf numFmtId="0" fontId="4" fillId="0" borderId="0" xfId="0" applyFont="1"/>
    <xf numFmtId="0" fontId="4" fillId="0" borderId="0" xfId="0" applyFont="1" applyAlignment="1">
      <alignment vertical="top" wrapText="1"/>
    </xf>
    <xf numFmtId="2" fontId="2" fillId="0" borderId="0" xfId="0" applyNumberFormat="1" applyFont="1"/>
    <xf numFmtId="0" fontId="4" fillId="0" borderId="0" xfId="0" applyFont="1" applyAlignment="1">
      <alignment horizontal="left" vertical="top"/>
    </xf>
    <xf numFmtId="0" fontId="2" fillId="3" borderId="2" xfId="0" applyFont="1" applyFill="1" applyBorder="1" applyAlignment="1">
      <alignment horizontal="center" vertical="center" wrapText="1"/>
    </xf>
    <xf numFmtId="167" fontId="2" fillId="3" borderId="3" xfId="0" applyNumberFormat="1" applyFont="1" applyFill="1" applyBorder="1" applyAlignment="1">
      <alignment horizontal="center" vertical="center"/>
    </xf>
    <xf numFmtId="9" fontId="2" fillId="3" borderId="3" xfId="0" applyNumberFormat="1" applyFont="1" applyFill="1" applyBorder="1" applyAlignment="1">
      <alignment horizontal="center" vertical="center"/>
    </xf>
    <xf numFmtId="0" fontId="3" fillId="3" borderId="1" xfId="0" applyFont="1" applyFill="1" applyBorder="1" applyAlignment="1">
      <alignment horizontal="center" wrapText="1"/>
    </xf>
    <xf numFmtId="0" fontId="3" fillId="3" borderId="1" xfId="0" applyFont="1" applyFill="1" applyBorder="1" applyAlignment="1" applyProtection="1">
      <alignment horizontal="center" wrapText="1"/>
      <protection locked="0"/>
    </xf>
    <xf numFmtId="0" fontId="3" fillId="3" borderId="16" xfId="0" applyFont="1" applyFill="1" applyBorder="1" applyAlignment="1">
      <alignment horizontal="center" wrapText="1"/>
    </xf>
    <xf numFmtId="0" fontId="3" fillId="3" borderId="1" xfId="0" applyFont="1" applyFill="1" applyBorder="1" applyAlignment="1">
      <alignment horizontal="center" vertical="center" wrapText="1"/>
    </xf>
    <xf numFmtId="0" fontId="2" fillId="3" borderId="4" xfId="0" applyFont="1" applyFill="1" applyBorder="1" applyAlignment="1">
      <alignment horizontal="center"/>
    </xf>
    <xf numFmtId="0" fontId="3" fillId="3" borderId="4" xfId="0" applyFont="1" applyFill="1" applyBorder="1" applyAlignment="1" applyProtection="1">
      <alignment horizontal="center" wrapText="1"/>
      <protection locked="0"/>
    </xf>
    <xf numFmtId="1" fontId="2" fillId="3" borderId="5" xfId="0" applyNumberFormat="1" applyFont="1" applyFill="1" applyBorder="1" applyAlignment="1">
      <alignment horizontal="center"/>
    </xf>
    <xf numFmtId="168" fontId="2" fillId="0" borderId="17" xfId="0" applyNumberFormat="1" applyFont="1" applyBorder="1" applyAlignment="1">
      <alignment horizontal="center"/>
    </xf>
    <xf numFmtId="168" fontId="2" fillId="0" borderId="5" xfId="0" applyNumberFormat="1" applyFont="1" applyBorder="1" applyAlignment="1">
      <alignment horizont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17" xfId="0" applyFont="1" applyFill="1" applyBorder="1" applyAlignment="1">
      <alignment horizontal="center" vertical="center"/>
    </xf>
    <xf numFmtId="1" fontId="4" fillId="3" borderId="21" xfId="0" applyNumberFormat="1" applyFont="1" applyFill="1" applyBorder="1" applyAlignment="1">
      <alignment horizontal="center"/>
    </xf>
    <xf numFmtId="0" fontId="2" fillId="3" borderId="6" xfId="0" applyFont="1" applyFill="1" applyBorder="1" applyAlignment="1">
      <alignment horizontal="center"/>
    </xf>
    <xf numFmtId="1" fontId="2" fillId="3" borderId="7" xfId="0" applyNumberFormat="1" applyFont="1" applyFill="1" applyBorder="1" applyAlignment="1" applyProtection="1">
      <alignment horizontal="center"/>
      <protection locked="0"/>
    </xf>
    <xf numFmtId="1" fontId="2" fillId="3" borderId="7" xfId="0" applyNumberFormat="1" applyFont="1" applyFill="1" applyBorder="1" applyAlignment="1">
      <alignment horizontal="center"/>
    </xf>
    <xf numFmtId="168" fontId="2" fillId="0" borderId="11" xfId="0" applyNumberFormat="1" applyFont="1" applyBorder="1" applyAlignment="1">
      <alignment horizontal="center"/>
    </xf>
    <xf numFmtId="168" fontId="2" fillId="0" borderId="7" xfId="0" applyNumberFormat="1" applyFont="1" applyBorder="1" applyAlignment="1">
      <alignment horizontal="center"/>
    </xf>
    <xf numFmtId="169" fontId="2" fillId="3" borderId="22" xfId="0" applyNumberFormat="1" applyFont="1" applyFill="1" applyBorder="1" applyAlignment="1">
      <alignment horizontal="center" vertical="center"/>
    </xf>
    <xf numFmtId="2" fontId="2" fillId="3" borderId="23" xfId="0" applyNumberFormat="1" applyFont="1" applyFill="1" applyBorder="1" applyAlignment="1">
      <alignment horizontal="center" vertical="center"/>
    </xf>
    <xf numFmtId="170" fontId="2" fillId="0" borderId="11" xfId="0" applyNumberFormat="1" applyFont="1" applyBorder="1" applyAlignment="1">
      <alignment horizontal="center"/>
    </xf>
    <xf numFmtId="169" fontId="4" fillId="0" borderId="22" xfId="0" applyNumberFormat="1" applyFont="1" applyBorder="1"/>
    <xf numFmtId="0" fontId="2" fillId="3" borderId="8" xfId="0" applyFont="1" applyFill="1" applyBorder="1" applyAlignment="1">
      <alignment horizontal="center"/>
    </xf>
    <xf numFmtId="1" fontId="2" fillId="3" borderId="9" xfId="0" applyNumberFormat="1" applyFont="1" applyFill="1" applyBorder="1" applyAlignment="1" applyProtection="1">
      <alignment horizontal="center"/>
      <protection locked="0"/>
    </xf>
    <xf numFmtId="1" fontId="2" fillId="3" borderId="9" xfId="0" applyNumberFormat="1" applyFont="1" applyFill="1" applyBorder="1" applyAlignment="1">
      <alignment horizontal="center"/>
    </xf>
    <xf numFmtId="168" fontId="2" fillId="0" borderId="13" xfId="0" applyNumberFormat="1" applyFont="1" applyBorder="1" applyAlignment="1">
      <alignment horizontal="center"/>
    </xf>
    <xf numFmtId="168" fontId="2" fillId="0" borderId="9" xfId="0" applyNumberFormat="1" applyFont="1" applyBorder="1" applyAlignment="1">
      <alignment horizontal="center"/>
    </xf>
    <xf numFmtId="169" fontId="2" fillId="3" borderId="24" xfId="0" applyNumberFormat="1" applyFont="1" applyFill="1" applyBorder="1" applyAlignment="1">
      <alignment horizontal="center" vertical="center"/>
    </xf>
    <xf numFmtId="2" fontId="2" fillId="3" borderId="25" xfId="0" applyNumberFormat="1" applyFont="1" applyFill="1" applyBorder="1" applyAlignment="1">
      <alignment horizontal="center" vertical="center"/>
    </xf>
    <xf numFmtId="170" fontId="2" fillId="0" borderId="26" xfId="0" applyNumberFormat="1" applyFont="1" applyBorder="1" applyAlignment="1">
      <alignment horizontal="center"/>
    </xf>
    <xf numFmtId="169" fontId="4" fillId="0" borderId="24" xfId="0" applyNumberFormat="1" applyFont="1" applyBorder="1"/>
    <xf numFmtId="0" fontId="2" fillId="0" borderId="0" xfId="0" applyFont="1" applyAlignment="1">
      <alignment horizontal="center"/>
    </xf>
    <xf numFmtId="1" fontId="2" fillId="0" borderId="0" xfId="0" applyNumberFormat="1" applyFont="1" applyAlignment="1" applyProtection="1">
      <alignment horizontal="center"/>
      <protection locked="0"/>
    </xf>
    <xf numFmtId="1" fontId="2" fillId="0" borderId="0" xfId="0" applyNumberFormat="1" applyFont="1" applyAlignment="1">
      <alignment horizontal="center"/>
    </xf>
    <xf numFmtId="0" fontId="3" fillId="0" borderId="4" xfId="0" applyFont="1" applyBorder="1" applyAlignment="1" applyProtection="1">
      <alignment horizontal="center" wrapText="1"/>
      <protection locked="0"/>
    </xf>
    <xf numFmtId="1" fontId="2" fillId="0" borderId="7" xfId="0" applyNumberFormat="1" applyFont="1" applyBorder="1" applyAlignment="1" applyProtection="1">
      <alignment horizontal="center"/>
      <protection locked="0"/>
    </xf>
    <xf numFmtId="1" fontId="2" fillId="3" borderId="22" xfId="0" applyNumberFormat="1" applyFont="1" applyFill="1" applyBorder="1" applyAlignment="1">
      <alignment horizontal="center"/>
    </xf>
    <xf numFmtId="0" fontId="2" fillId="0" borderId="0" xfId="0" applyFont="1" applyAlignment="1">
      <alignment horizontal="right"/>
    </xf>
    <xf numFmtId="0" fontId="2" fillId="3" borderId="0" xfId="0" applyFont="1" applyFill="1" applyAlignment="1">
      <alignment horizontal="right"/>
    </xf>
    <xf numFmtId="168" fontId="3" fillId="0" borderId="7" xfId="0" applyNumberFormat="1" applyFont="1" applyBorder="1" applyAlignment="1">
      <alignment horizontal="center"/>
    </xf>
    <xf numFmtId="168" fontId="3" fillId="0" borderId="5" xfId="0" applyNumberFormat="1" applyFont="1" applyBorder="1" applyAlignment="1">
      <alignment horizontal="center"/>
    </xf>
    <xf numFmtId="0" fontId="13" fillId="2" borderId="22" xfId="1" applyFont="1" applyFill="1" applyBorder="1" applyAlignment="1">
      <alignment horizontal="center"/>
    </xf>
    <xf numFmtId="168" fontId="3" fillId="0" borderId="9" xfId="0" applyNumberFormat="1" applyFont="1" applyBorder="1" applyAlignment="1">
      <alignment horizontal="center"/>
    </xf>
    <xf numFmtId="0" fontId="13" fillId="2" borderId="24" xfId="1" applyFont="1" applyFill="1" applyBorder="1" applyAlignment="1">
      <alignment horizontal="center"/>
    </xf>
    <xf numFmtId="0" fontId="4" fillId="3" borderId="0" xfId="0" applyFont="1" applyFill="1" applyAlignment="1">
      <alignment horizontal="right"/>
    </xf>
    <xf numFmtId="0" fontId="4" fillId="0" borderId="0" xfId="0" applyFont="1" applyAlignment="1">
      <alignment horizontal="right"/>
    </xf>
    <xf numFmtId="0" fontId="2" fillId="0" borderId="0" xfId="0" applyFont="1" applyAlignment="1">
      <alignment horizontal="left" vertical="top" wrapText="1"/>
    </xf>
    <xf numFmtId="0" fontId="2" fillId="0" borderId="0" xfId="0" applyFont="1" applyAlignment="1">
      <alignment horizontal="left" wrapText="1"/>
    </xf>
    <xf numFmtId="0" fontId="14" fillId="0" borderId="0" xfId="2"/>
    <xf numFmtId="0" fontId="14" fillId="0" borderId="1" xfId="2" applyBorder="1"/>
    <xf numFmtId="0" fontId="0" fillId="0" borderId="0" xfId="2" applyFont="1"/>
    <xf numFmtId="0" fontId="3" fillId="3" borderId="2" xfId="0" applyFont="1" applyFill="1" applyBorder="1" applyAlignment="1">
      <alignment horizontal="center"/>
    </xf>
    <xf numFmtId="0" fontId="3" fillId="3" borderId="16" xfId="0" applyFont="1" applyFill="1" applyBorder="1" applyAlignment="1">
      <alignment horizontal="center"/>
    </xf>
    <xf numFmtId="0" fontId="2" fillId="3" borderId="32" xfId="0" applyFont="1" applyFill="1" applyBorder="1" applyAlignment="1">
      <alignment horizontal="center"/>
    </xf>
    <xf numFmtId="169" fontId="2" fillId="3" borderId="6" xfId="0" applyNumberFormat="1" applyFont="1" applyFill="1" applyBorder="1" applyAlignment="1">
      <alignment horizontal="center"/>
    </xf>
    <xf numFmtId="0" fontId="2" fillId="3" borderId="29" xfId="0" applyFont="1" applyFill="1" applyBorder="1" applyAlignment="1">
      <alignment horizontal="center"/>
    </xf>
    <xf numFmtId="169" fontId="2" fillId="3" borderId="8" xfId="0" applyNumberFormat="1" applyFont="1" applyFill="1" applyBorder="1" applyAlignment="1">
      <alignment horizontal="center"/>
    </xf>
    <xf numFmtId="3" fontId="4" fillId="0" borderId="0" xfId="2" applyNumberFormat="1" applyFont="1"/>
    <xf numFmtId="0" fontId="2" fillId="0" borderId="0" xfId="2" applyFont="1"/>
    <xf numFmtId="3" fontId="4" fillId="0" borderId="0" xfId="2" applyNumberFormat="1" applyFont="1" applyAlignment="1">
      <alignment horizontal="center"/>
    </xf>
    <xf numFmtId="3" fontId="2" fillId="0" borderId="0" xfId="2" applyNumberFormat="1" applyFont="1" applyAlignment="1">
      <alignment horizontal="center"/>
    </xf>
    <xf numFmtId="3" fontId="4" fillId="0" borderId="30" xfId="2" applyNumberFormat="1" applyFont="1" applyBorder="1" applyAlignment="1">
      <alignment horizontal="center"/>
    </xf>
    <xf numFmtId="3" fontId="2" fillId="0" borderId="30" xfId="2" applyNumberFormat="1" applyFont="1" applyBorder="1" applyAlignment="1">
      <alignment horizontal="center"/>
    </xf>
    <xf numFmtId="0" fontId="4" fillId="0" borderId="0" xfId="2" applyFont="1"/>
    <xf numFmtId="4" fontId="2" fillId="0" borderId="33" xfId="2" applyNumberFormat="1" applyFont="1" applyBorder="1" applyAlignment="1">
      <alignment horizontal="center"/>
    </xf>
    <xf numFmtId="4" fontId="2" fillId="0" borderId="31" xfId="2" applyNumberFormat="1" applyFont="1" applyBorder="1" applyAlignment="1">
      <alignment horizontal="center"/>
    </xf>
    <xf numFmtId="0" fontId="2" fillId="0" borderId="3" xfId="2" applyFont="1" applyBorder="1"/>
    <xf numFmtId="0" fontId="2" fillId="0" borderId="0" xfId="2" applyFont="1" applyAlignment="1">
      <alignment horizontal="center"/>
    </xf>
    <xf numFmtId="2" fontId="14" fillId="0" borderId="1" xfId="2" applyNumberFormat="1" applyBorder="1"/>
    <xf numFmtId="4" fontId="2" fillId="0" borderId="0" xfId="2" applyNumberFormat="1" applyFont="1" applyAlignment="1">
      <alignment horizontal="center"/>
    </xf>
    <xf numFmtId="4" fontId="2" fillId="0" borderId="30" xfId="2" applyNumberFormat="1" applyFont="1" applyBorder="1" applyAlignment="1">
      <alignment horizontal="center"/>
    </xf>
    <xf numFmtId="9" fontId="2" fillId="0" borderId="0" xfId="3" applyFont="1" applyBorder="1" applyAlignment="1">
      <alignment horizontal="center"/>
    </xf>
    <xf numFmtId="9" fontId="2" fillId="0" borderId="30" xfId="3" applyFont="1" applyBorder="1" applyAlignment="1">
      <alignment horizontal="center"/>
    </xf>
    <xf numFmtId="2" fontId="2" fillId="0" borderId="1" xfId="0" applyNumberFormat="1" applyFont="1" applyBorder="1"/>
    <xf numFmtId="10" fontId="2" fillId="0" borderId="1" xfId="0" applyNumberFormat="1" applyFont="1" applyBorder="1"/>
    <xf numFmtId="164" fontId="2" fillId="0" borderId="1" xfId="0" applyNumberFormat="1" applyFont="1" applyBorder="1"/>
    <xf numFmtId="2" fontId="2" fillId="0" borderId="3" xfId="0" applyNumberFormat="1" applyFont="1" applyBorder="1" applyAlignment="1">
      <alignment horizontal="center"/>
    </xf>
    <xf numFmtId="0" fontId="2" fillId="0" borderId="2" xfId="0" applyFont="1" applyBorder="1"/>
    <xf numFmtId="164" fontId="2" fillId="0" borderId="2" xfId="0" applyNumberFormat="1" applyFont="1" applyBorder="1" applyAlignment="1">
      <alignment horizontal="left"/>
    </xf>
    <xf numFmtId="0" fontId="2" fillId="3" borderId="0" xfId="0" applyFont="1" applyFill="1" applyAlignment="1">
      <alignment horizontal="left"/>
    </xf>
    <xf numFmtId="0" fontId="2" fillId="0" borderId="0" xfId="0" applyFont="1" applyAlignment="1">
      <alignment horizontal="right" vertical="top"/>
    </xf>
    <xf numFmtId="0" fontId="2" fillId="0" borderId="0" xfId="2" applyFont="1" applyAlignment="1">
      <alignment horizontal="left"/>
    </xf>
    <xf numFmtId="0" fontId="4" fillId="3" borderId="0" xfId="0" applyFont="1" applyFill="1" applyAlignment="1">
      <alignment horizontal="left" wrapText="1"/>
    </xf>
    <xf numFmtId="0" fontId="4" fillId="4" borderId="0" xfId="0" applyFont="1" applyFill="1" applyAlignment="1">
      <alignment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0"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3" fillId="3" borderId="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3" xfId="0" applyFont="1" applyFill="1" applyBorder="1" applyAlignment="1">
      <alignment horizontal="center" vertical="center"/>
    </xf>
    <xf numFmtId="0" fontId="2" fillId="3" borderId="0" xfId="0" applyFont="1" applyFill="1" applyAlignment="1">
      <alignment horizontal="left" wrapText="1"/>
    </xf>
    <xf numFmtId="0" fontId="2" fillId="3" borderId="0" xfId="0" applyFont="1" applyFill="1" applyAlignment="1">
      <alignment horizontal="left" vertical="top" wrapText="1"/>
    </xf>
    <xf numFmtId="0" fontId="2" fillId="3" borderId="0" xfId="0" applyFont="1" applyFill="1" applyAlignment="1">
      <alignment wrapText="1"/>
    </xf>
    <xf numFmtId="0" fontId="2" fillId="3" borderId="0" xfId="0" applyFont="1" applyFill="1" applyAlignment="1">
      <alignment vertical="top" wrapText="1"/>
    </xf>
    <xf numFmtId="0" fontId="2" fillId="0" borderId="27" xfId="0" applyFont="1" applyBorder="1" applyAlignment="1">
      <alignment wrapText="1"/>
    </xf>
    <xf numFmtId="0" fontId="2" fillId="0" borderId="28" xfId="0" applyFont="1" applyBorder="1" applyAlignment="1">
      <alignment wrapText="1"/>
    </xf>
    <xf numFmtId="0" fontId="2" fillId="0" borderId="20" xfId="0" applyFont="1" applyBorder="1" applyAlignment="1">
      <alignment wrapText="1"/>
    </xf>
    <xf numFmtId="0" fontId="2" fillId="0" borderId="29" xfId="0" applyFont="1" applyBorder="1" applyAlignment="1">
      <alignment wrapText="1"/>
    </xf>
    <xf numFmtId="0" fontId="2" fillId="0" borderId="30" xfId="0" applyFont="1" applyBorder="1" applyAlignment="1">
      <alignment wrapText="1"/>
    </xf>
    <xf numFmtId="0" fontId="2" fillId="0" borderId="31" xfId="0" applyFont="1" applyBorder="1" applyAlignment="1">
      <alignment wrapText="1"/>
    </xf>
    <xf numFmtId="0" fontId="2" fillId="0" borderId="27" xfId="2" applyFont="1" applyBorder="1" applyAlignment="1">
      <alignment horizontal="left" vertical="top" wrapText="1"/>
    </xf>
    <xf numFmtId="0" fontId="2" fillId="0" borderId="28" xfId="2" applyFont="1" applyBorder="1" applyAlignment="1">
      <alignment horizontal="left" vertical="top" wrapText="1"/>
    </xf>
    <xf numFmtId="0" fontId="2" fillId="0" borderId="20" xfId="2" applyFont="1" applyBorder="1" applyAlignment="1">
      <alignment horizontal="left" vertical="top" wrapText="1"/>
    </xf>
    <xf numFmtId="0" fontId="2" fillId="0" borderId="32" xfId="2" applyFont="1" applyBorder="1" applyAlignment="1">
      <alignment horizontal="left" vertical="top" wrapText="1"/>
    </xf>
    <xf numFmtId="0" fontId="2" fillId="0" borderId="0" xfId="2" applyFont="1" applyAlignment="1">
      <alignment horizontal="left" vertical="top" wrapText="1"/>
    </xf>
    <xf numFmtId="0" fontId="2" fillId="0" borderId="33" xfId="2" applyFont="1" applyBorder="1" applyAlignment="1">
      <alignment horizontal="left" vertical="top" wrapText="1"/>
    </xf>
    <xf numFmtId="0" fontId="2" fillId="0" borderId="29" xfId="2" applyFont="1" applyBorder="1" applyAlignment="1">
      <alignment horizontal="left" vertical="top" wrapText="1"/>
    </xf>
    <xf numFmtId="0" fontId="2" fillId="0" borderId="30" xfId="2" applyFont="1" applyBorder="1" applyAlignment="1">
      <alignment horizontal="left" vertical="top" wrapText="1"/>
    </xf>
    <xf numFmtId="0" fontId="2" fillId="0" borderId="31" xfId="2"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0" xfId="0" applyFont="1" applyBorder="1" applyAlignment="1">
      <alignment horizontal="left" vertical="top" wrapText="1"/>
    </xf>
    <xf numFmtId="0" fontId="2" fillId="0" borderId="32" xfId="0" applyFont="1" applyBorder="1" applyAlignment="1">
      <alignment horizontal="left" vertical="top" wrapText="1"/>
    </xf>
    <xf numFmtId="0" fontId="2" fillId="0" borderId="0" xfId="0" applyFont="1" applyBorder="1" applyAlignment="1">
      <alignment horizontal="left" vertical="top" wrapText="1"/>
    </xf>
    <xf numFmtId="0" fontId="2" fillId="0" borderId="33"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22" xfId="0" applyFont="1" applyFill="1" applyBorder="1" applyAlignment="1">
      <alignment horizontal="center"/>
    </xf>
    <xf numFmtId="0" fontId="3" fillId="3" borderId="34" xfId="0" applyFont="1" applyFill="1" applyBorder="1" applyAlignment="1">
      <alignment horizontal="center"/>
    </xf>
    <xf numFmtId="0" fontId="3" fillId="3" borderId="35" xfId="0" applyFont="1" applyFill="1" applyBorder="1" applyAlignment="1">
      <alignment horizontal="center"/>
    </xf>
    <xf numFmtId="0" fontId="2" fillId="3" borderId="21" xfId="0" applyFont="1" applyFill="1" applyBorder="1" applyAlignment="1">
      <alignment horizontal="center"/>
    </xf>
    <xf numFmtId="0" fontId="2" fillId="3" borderId="21" xfId="0" applyFont="1" applyFill="1" applyBorder="1"/>
    <xf numFmtId="0" fontId="2" fillId="3" borderId="22" xfId="0" applyFont="1" applyFill="1" applyBorder="1" applyAlignment="1">
      <alignment horizontal="center"/>
    </xf>
    <xf numFmtId="0" fontId="2" fillId="3" borderId="22" xfId="0" applyFont="1" applyFill="1" applyBorder="1"/>
    <xf numFmtId="171" fontId="2" fillId="0" borderId="21" xfId="4" applyNumberFormat="1" applyFont="1" applyBorder="1"/>
    <xf numFmtId="171" fontId="2" fillId="0" borderId="22" xfId="4" applyNumberFormat="1" applyFont="1" applyBorder="1"/>
    <xf numFmtId="10" fontId="2" fillId="3" borderId="22" xfId="3" applyNumberFormat="1" applyFont="1" applyFill="1" applyBorder="1" applyAlignment="1">
      <alignment horizontal="center"/>
    </xf>
    <xf numFmtId="0" fontId="2" fillId="3" borderId="0" xfId="0" applyFont="1" applyFill="1" applyAlignment="1"/>
    <xf numFmtId="171" fontId="2" fillId="0" borderId="1" xfId="0" applyNumberFormat="1" applyFont="1" applyBorder="1"/>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5" xfId="0" applyFont="1" applyFill="1" applyBorder="1" applyAlignment="1">
      <alignment horizontal="center"/>
    </xf>
    <xf numFmtId="0" fontId="3" fillId="3" borderId="46" xfId="0" applyFont="1" applyFill="1" applyBorder="1" applyAlignment="1">
      <alignment horizontal="center"/>
    </xf>
    <xf numFmtId="0" fontId="3" fillId="3" borderId="47" xfId="0" applyFont="1" applyFill="1" applyBorder="1" applyAlignment="1">
      <alignment horizontal="center"/>
    </xf>
    <xf numFmtId="0" fontId="3" fillId="3" borderId="48" xfId="0" applyFont="1" applyFill="1" applyBorder="1" applyAlignment="1">
      <alignment horizontal="center"/>
    </xf>
    <xf numFmtId="0" fontId="2" fillId="3" borderId="18" xfId="0" applyFont="1" applyFill="1" applyBorder="1" applyAlignment="1">
      <alignment horizontal="center"/>
    </xf>
    <xf numFmtId="171" fontId="2" fillId="0" borderId="55" xfId="0" applyNumberFormat="1" applyFont="1" applyBorder="1"/>
    <xf numFmtId="166" fontId="2" fillId="3" borderId="19" xfId="0" applyNumberFormat="1" applyFont="1" applyFill="1" applyBorder="1"/>
    <xf numFmtId="170" fontId="2" fillId="0" borderId="19" xfId="0" applyNumberFormat="1" applyFont="1" applyBorder="1"/>
    <xf numFmtId="171" fontId="2" fillId="0" borderId="53" xfId="4" applyNumberFormat="1" applyFont="1" applyBorder="1"/>
    <xf numFmtId="0" fontId="2" fillId="3" borderId="10" xfId="0" applyFont="1" applyFill="1" applyBorder="1" applyAlignment="1">
      <alignment horizontal="center"/>
    </xf>
    <xf numFmtId="0" fontId="2" fillId="3" borderId="50" xfId="0" applyFont="1" applyFill="1" applyBorder="1" applyAlignment="1">
      <alignment horizontal="center"/>
    </xf>
    <xf numFmtId="171" fontId="2" fillId="0" borderId="51" xfId="0" applyNumberFormat="1" applyFont="1" applyBorder="1"/>
    <xf numFmtId="166" fontId="2" fillId="3" borderId="22" xfId="0" applyNumberFormat="1" applyFont="1" applyFill="1" applyBorder="1"/>
    <xf numFmtId="170" fontId="2" fillId="0" borderId="22" xfId="0" applyNumberFormat="1" applyFont="1" applyBorder="1"/>
    <xf numFmtId="171" fontId="2" fillId="0" borderId="23" xfId="4" applyNumberFormat="1" applyFont="1" applyBorder="1"/>
    <xf numFmtId="0" fontId="2" fillId="3" borderId="42" xfId="0" applyFont="1" applyFill="1" applyBorder="1" applyAlignment="1">
      <alignment horizontal="center"/>
    </xf>
    <xf numFmtId="171" fontId="2" fillId="0" borderId="52" xfId="0" applyNumberFormat="1" applyFont="1" applyBorder="1"/>
    <xf numFmtId="166" fontId="2" fillId="3" borderId="43" xfId="0" applyNumberFormat="1" applyFont="1" applyFill="1" applyBorder="1"/>
    <xf numFmtId="170" fontId="2" fillId="0" borderId="43" xfId="0" applyNumberFormat="1" applyFont="1" applyBorder="1"/>
    <xf numFmtId="171" fontId="2" fillId="0" borderId="44" xfId="4" applyNumberFormat="1" applyFont="1" applyBorder="1"/>
    <xf numFmtId="0" fontId="2" fillId="0" borderId="0" xfId="0" applyFont="1" applyBorder="1"/>
    <xf numFmtId="171" fontId="2" fillId="0" borderId="8" xfId="0" applyNumberFormat="1" applyFont="1" applyBorder="1"/>
    <xf numFmtId="0" fontId="8" fillId="0" borderId="0" xfId="0" applyFont="1" applyAlignment="1">
      <alignment horizontal="center"/>
    </xf>
    <xf numFmtId="167" fontId="2" fillId="0" borderId="53" xfId="3" applyNumberFormat="1" applyFont="1" applyBorder="1"/>
    <xf numFmtId="167" fontId="2" fillId="0" borderId="23" xfId="3" applyNumberFormat="1" applyFont="1" applyBorder="1"/>
    <xf numFmtId="167" fontId="2" fillId="0" borderId="48" xfId="3" applyNumberFormat="1" applyFont="1" applyBorder="1"/>
    <xf numFmtId="167" fontId="2" fillId="0" borderId="19" xfId="3" applyNumberFormat="1" applyFont="1" applyBorder="1" applyAlignment="1"/>
    <xf numFmtId="167" fontId="2" fillId="0" borderId="53" xfId="3" applyNumberFormat="1" applyFont="1" applyBorder="1" applyAlignment="1"/>
    <xf numFmtId="171" fontId="2" fillId="0" borderId="0" xfId="0" applyNumberFormat="1" applyFont="1"/>
    <xf numFmtId="167" fontId="2" fillId="0" borderId="22" xfId="3" applyNumberFormat="1" applyFont="1" applyBorder="1" applyAlignment="1"/>
    <xf numFmtId="167" fontId="2" fillId="0" borderId="23" xfId="3" applyNumberFormat="1" applyFont="1" applyBorder="1" applyAlignment="1"/>
    <xf numFmtId="167" fontId="2" fillId="0" borderId="22" xfId="3" applyNumberFormat="1" applyFont="1" applyBorder="1"/>
    <xf numFmtId="167" fontId="2" fillId="0" borderId="43" xfId="3" applyNumberFormat="1" applyFont="1" applyBorder="1"/>
    <xf numFmtId="167" fontId="2" fillId="0" borderId="44" xfId="3" applyNumberFormat="1" applyFont="1" applyBorder="1"/>
    <xf numFmtId="0" fontId="2" fillId="3" borderId="37" xfId="0" applyFont="1" applyFill="1" applyBorder="1" applyAlignment="1">
      <alignment horizontal="center"/>
    </xf>
    <xf numFmtId="0" fontId="3" fillId="3" borderId="36" xfId="0" applyFont="1" applyFill="1" applyBorder="1" applyAlignment="1">
      <alignment horizontal="center"/>
    </xf>
    <xf numFmtId="0" fontId="2" fillId="3" borderId="27" xfId="0" applyFont="1" applyFill="1" applyBorder="1"/>
    <xf numFmtId="0" fontId="3" fillId="3" borderId="54" xfId="0" applyFont="1" applyFill="1" applyBorder="1" applyAlignment="1">
      <alignment horizontal="center"/>
    </xf>
    <xf numFmtId="0" fontId="3" fillId="3" borderId="20" xfId="0" applyFont="1" applyFill="1" applyBorder="1" applyAlignment="1">
      <alignment horizontal="center"/>
    </xf>
    <xf numFmtId="0" fontId="3" fillId="3" borderId="29" xfId="0" applyFont="1" applyFill="1" applyBorder="1" applyAlignment="1">
      <alignment horizontal="center"/>
    </xf>
    <xf numFmtId="0" fontId="3" fillId="3" borderId="31" xfId="0" applyFont="1" applyFill="1" applyBorder="1" applyAlignment="1">
      <alignment horizontal="center"/>
    </xf>
    <xf numFmtId="0" fontId="2" fillId="0" borderId="0" xfId="0" applyFont="1" applyFill="1" applyBorder="1" applyAlignment="1">
      <alignment horizontal="center"/>
    </xf>
    <xf numFmtId="0" fontId="2" fillId="0" borderId="56" xfId="0" applyFont="1" applyFill="1" applyBorder="1" applyAlignment="1">
      <alignment horizontal="center"/>
    </xf>
    <xf numFmtId="0" fontId="2" fillId="0" borderId="58" xfId="0" applyFont="1" applyFill="1" applyBorder="1" applyAlignment="1">
      <alignment horizontal="center"/>
    </xf>
    <xf numFmtId="171" fontId="2" fillId="0" borderId="0" xfId="4" applyNumberFormat="1" applyFont="1" applyFill="1" applyBorder="1" applyAlignment="1">
      <alignment horizontal="center"/>
    </xf>
    <xf numFmtId="0" fontId="3" fillId="0" borderId="0" xfId="0" applyFont="1" applyBorder="1" applyAlignment="1">
      <alignment horizontal="center"/>
    </xf>
    <xf numFmtId="171" fontId="2" fillId="0" borderId="57" xfId="4" applyNumberFormat="1" applyFont="1" applyFill="1" applyBorder="1" applyAlignment="1">
      <alignment horizontal="center"/>
    </xf>
    <xf numFmtId="171" fontId="2" fillId="0" borderId="17" xfId="4" applyNumberFormat="1" applyFont="1" applyFill="1" applyBorder="1" applyAlignment="1">
      <alignment horizontal="center"/>
    </xf>
    <xf numFmtId="171" fontId="2" fillId="0" borderId="49" xfId="4" applyNumberFormat="1" applyFont="1" applyFill="1" applyBorder="1" applyAlignment="1">
      <alignment horizontal="center"/>
    </xf>
    <xf numFmtId="0" fontId="2" fillId="0" borderId="0" xfId="0" applyFont="1" applyFill="1" applyAlignment="1">
      <alignment horizontal="center"/>
    </xf>
    <xf numFmtId="0" fontId="2" fillId="0" borderId="0" xfId="0" applyFont="1" applyAlignment="1">
      <alignment horizontal="left" vertical="top" wrapText="1"/>
    </xf>
    <xf numFmtId="0" fontId="3" fillId="0" borderId="58" xfId="0" applyFont="1" applyFill="1" applyBorder="1" applyAlignment="1">
      <alignment horizontal="center"/>
    </xf>
    <xf numFmtId="0" fontId="3" fillId="0" borderId="17" xfId="0" applyFont="1" applyFill="1" applyBorder="1" applyAlignment="1">
      <alignment horizontal="center"/>
    </xf>
    <xf numFmtId="0" fontId="3" fillId="0" borderId="49" xfId="0" applyFont="1" applyFill="1" applyBorder="1" applyAlignment="1">
      <alignment horizontal="center"/>
    </xf>
    <xf numFmtId="0" fontId="3" fillId="0" borderId="59" xfId="0" applyFont="1" applyFill="1" applyBorder="1" applyAlignment="1">
      <alignment horizontal="center" wrapText="1"/>
    </xf>
    <xf numFmtId="0" fontId="3" fillId="0" borderId="11" xfId="0" applyFont="1" applyFill="1" applyBorder="1" applyAlignment="1">
      <alignment horizontal="center" wrapText="1"/>
    </xf>
    <xf numFmtId="0" fontId="3" fillId="0" borderId="51" xfId="0" applyFont="1" applyFill="1" applyBorder="1" applyAlignment="1">
      <alignment horizontal="center" wrapText="1"/>
    </xf>
    <xf numFmtId="0" fontId="3" fillId="3" borderId="40" xfId="0" applyFont="1" applyFill="1" applyBorder="1" applyAlignment="1">
      <alignment horizontal="center" vertical="center"/>
    </xf>
    <xf numFmtId="0" fontId="3" fillId="3" borderId="47" xfId="0" applyFont="1" applyFill="1" applyBorder="1" applyAlignment="1">
      <alignment horizontal="center" vertical="center"/>
    </xf>
  </cellXfs>
  <cellStyles count="5">
    <cellStyle name="Comma" xfId="4" builtinId="3"/>
    <cellStyle name="Normal" xfId="0" builtinId="0"/>
    <cellStyle name="Normal 2" xfId="1" xr:uid="{EC6EC511-63D9-704A-A0F3-D45233BE1D98}"/>
    <cellStyle name="Normal 3" xfId="2" xr:uid="{170D2E0E-9A27-9A4E-9682-5A543902A6F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76200</xdr:colOff>
      <xdr:row>7</xdr:row>
      <xdr:rowOff>25400</xdr:rowOff>
    </xdr:from>
    <xdr:to>
      <xdr:col>7</xdr:col>
      <xdr:colOff>88900</xdr:colOff>
      <xdr:row>11</xdr:row>
      <xdr:rowOff>190500</xdr:rowOff>
    </xdr:to>
    <xdr:sp macro="" textlink="">
      <xdr:nvSpPr>
        <xdr:cNvPr id="3" name="TextBox 2">
          <a:extLst>
            <a:ext uri="{FF2B5EF4-FFF2-40B4-BE49-F238E27FC236}">
              <a16:creationId xmlns:a16="http://schemas.microsoft.com/office/drawing/2014/main" id="{CE73F366-63BB-7743-9849-913DA521A339}"/>
            </a:ext>
          </a:extLst>
        </xdr:cNvPr>
        <xdr:cNvSpPr txBox="1"/>
      </xdr:nvSpPr>
      <xdr:spPr>
        <a:xfrm>
          <a:off x="4203700" y="1854200"/>
          <a:ext cx="16637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Disabled</a:t>
          </a:r>
        </a:p>
        <a:p>
          <a:pPr algn="ctr"/>
          <a:endParaRPr lang="en-US" sz="1400"/>
        </a:p>
        <a:p>
          <a:pPr algn="ctr"/>
          <a:r>
            <a:rPr lang="en-US" sz="1400"/>
            <a:t>1</a:t>
          </a:r>
        </a:p>
      </xdr:txBody>
    </xdr:sp>
    <xdr:clientData/>
  </xdr:twoCellAnchor>
  <xdr:twoCellAnchor>
    <xdr:from>
      <xdr:col>1</xdr:col>
      <xdr:colOff>355600</xdr:colOff>
      <xdr:row>7</xdr:row>
      <xdr:rowOff>12700</xdr:rowOff>
    </xdr:from>
    <xdr:to>
      <xdr:col>3</xdr:col>
      <xdr:colOff>368300</xdr:colOff>
      <xdr:row>11</xdr:row>
      <xdr:rowOff>177800</xdr:rowOff>
    </xdr:to>
    <xdr:sp macro="" textlink="">
      <xdr:nvSpPr>
        <xdr:cNvPr id="4" name="TextBox 3">
          <a:extLst>
            <a:ext uri="{FF2B5EF4-FFF2-40B4-BE49-F238E27FC236}">
              <a16:creationId xmlns:a16="http://schemas.microsoft.com/office/drawing/2014/main" id="{7DDFEF1F-BD8B-5445-A9B6-11F523D9BE05}"/>
            </a:ext>
          </a:extLst>
        </xdr:cNvPr>
        <xdr:cNvSpPr txBox="1"/>
      </xdr:nvSpPr>
      <xdr:spPr>
        <a:xfrm>
          <a:off x="1181100" y="1841500"/>
          <a:ext cx="16637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Healthy</a:t>
          </a:r>
        </a:p>
        <a:p>
          <a:pPr algn="ctr"/>
          <a:endParaRPr lang="en-US" sz="1400"/>
        </a:p>
        <a:p>
          <a:pPr algn="ctr"/>
          <a:r>
            <a:rPr lang="en-US" sz="1400"/>
            <a:t>0</a:t>
          </a:r>
        </a:p>
      </xdr:txBody>
    </xdr:sp>
    <xdr:clientData/>
  </xdr:twoCellAnchor>
  <xdr:twoCellAnchor>
    <xdr:from>
      <xdr:col>3</xdr:col>
      <xdr:colOff>254000</xdr:colOff>
      <xdr:row>15</xdr:row>
      <xdr:rowOff>165100</xdr:rowOff>
    </xdr:from>
    <xdr:to>
      <xdr:col>5</xdr:col>
      <xdr:colOff>127000</xdr:colOff>
      <xdr:row>20</xdr:row>
      <xdr:rowOff>127000</xdr:rowOff>
    </xdr:to>
    <xdr:sp macro="" textlink="">
      <xdr:nvSpPr>
        <xdr:cNvPr id="5" name="TextBox 4">
          <a:extLst>
            <a:ext uri="{FF2B5EF4-FFF2-40B4-BE49-F238E27FC236}">
              <a16:creationId xmlns:a16="http://schemas.microsoft.com/office/drawing/2014/main" id="{0840A794-2242-CF40-9296-7E158E275C8F}"/>
            </a:ext>
          </a:extLst>
        </xdr:cNvPr>
        <xdr:cNvSpPr txBox="1"/>
      </xdr:nvSpPr>
      <xdr:spPr>
        <a:xfrm>
          <a:off x="2730500" y="3619500"/>
          <a:ext cx="15240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Dead</a:t>
          </a:r>
        </a:p>
        <a:p>
          <a:pPr algn="ctr"/>
          <a:endParaRPr lang="en-US" sz="1400"/>
        </a:p>
        <a:p>
          <a:pPr algn="ctr"/>
          <a:r>
            <a:rPr lang="en-US" sz="1400"/>
            <a:t>2</a:t>
          </a:r>
        </a:p>
      </xdr:txBody>
    </xdr:sp>
    <xdr:clientData/>
  </xdr:twoCellAnchor>
  <xdr:twoCellAnchor>
    <xdr:from>
      <xdr:col>3</xdr:col>
      <xdr:colOff>393700</xdr:colOff>
      <xdr:row>9</xdr:row>
      <xdr:rowOff>76200</xdr:rowOff>
    </xdr:from>
    <xdr:to>
      <xdr:col>5</xdr:col>
      <xdr:colOff>38100</xdr:colOff>
      <xdr:row>9</xdr:row>
      <xdr:rowOff>88900</xdr:rowOff>
    </xdr:to>
    <xdr:cxnSp macro="">
      <xdr:nvCxnSpPr>
        <xdr:cNvPr id="6" name="Straight Arrow Connector 5">
          <a:extLst>
            <a:ext uri="{FF2B5EF4-FFF2-40B4-BE49-F238E27FC236}">
              <a16:creationId xmlns:a16="http://schemas.microsoft.com/office/drawing/2014/main" id="{5D348F43-38BE-D243-B73E-608A1F94B301}"/>
            </a:ext>
          </a:extLst>
        </xdr:cNvPr>
        <xdr:cNvCxnSpPr/>
      </xdr:nvCxnSpPr>
      <xdr:spPr>
        <a:xfrm flipV="1">
          <a:off x="2870200" y="2311400"/>
          <a:ext cx="1295400" cy="127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368300</xdr:colOff>
      <xdr:row>12</xdr:row>
      <xdr:rowOff>12700</xdr:rowOff>
    </xdr:from>
    <xdr:to>
      <xdr:col>3</xdr:col>
      <xdr:colOff>622300</xdr:colOff>
      <xdr:row>15</xdr:row>
      <xdr:rowOff>101600</xdr:rowOff>
    </xdr:to>
    <xdr:cxnSp macro="">
      <xdr:nvCxnSpPr>
        <xdr:cNvPr id="7" name="Straight Arrow Connector 6">
          <a:extLst>
            <a:ext uri="{FF2B5EF4-FFF2-40B4-BE49-F238E27FC236}">
              <a16:creationId xmlns:a16="http://schemas.microsoft.com/office/drawing/2014/main" id="{5585F7A0-7A6B-CD40-95C2-4FCBDE54D441}"/>
            </a:ext>
          </a:extLst>
        </xdr:cNvPr>
        <xdr:cNvCxnSpPr/>
      </xdr:nvCxnSpPr>
      <xdr:spPr>
        <a:xfrm>
          <a:off x="2019300" y="2857500"/>
          <a:ext cx="1079500" cy="6985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558800</xdr:colOff>
      <xdr:row>12</xdr:row>
      <xdr:rowOff>50800</xdr:rowOff>
    </xdr:from>
    <xdr:to>
      <xdr:col>6</xdr:col>
      <xdr:colOff>38100</xdr:colOff>
      <xdr:row>15</xdr:row>
      <xdr:rowOff>88900</xdr:rowOff>
    </xdr:to>
    <xdr:cxnSp macro="">
      <xdr:nvCxnSpPr>
        <xdr:cNvPr id="8" name="Straight Arrow Connector 7">
          <a:extLst>
            <a:ext uri="{FF2B5EF4-FFF2-40B4-BE49-F238E27FC236}">
              <a16:creationId xmlns:a16="http://schemas.microsoft.com/office/drawing/2014/main" id="{ED44B90C-4FAF-7E48-88CF-985DADE5974C}"/>
            </a:ext>
          </a:extLst>
        </xdr:cNvPr>
        <xdr:cNvCxnSpPr/>
      </xdr:nvCxnSpPr>
      <xdr:spPr>
        <a:xfrm flipH="1">
          <a:off x="3860800" y="2895600"/>
          <a:ext cx="1130300" cy="6477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749300</xdr:colOff>
      <xdr:row>10</xdr:row>
      <xdr:rowOff>50800</xdr:rowOff>
    </xdr:from>
    <xdr:ext cx="2032000" cy="45720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958515B8-0E16-7E4B-9F8E-B71D6A6B7F96}"/>
                </a:ext>
              </a:extLst>
            </xdr:cNvPr>
            <xdr:cNvSpPr txBox="1"/>
          </xdr:nvSpPr>
          <xdr:spPr>
            <a:xfrm>
              <a:off x="6527800" y="2413000"/>
              <a:ext cx="203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i="1">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12</m:t>
                        </m:r>
                      </m:sup>
                    </m:sSubSup>
                    <m:r>
                      <a:rPr lang="en-US" sz="1400" b="0" i="1">
                        <a:latin typeface="Cambria Math" panose="02040503050406030204" pitchFamily="18" charset="0"/>
                      </a:rPr>
                      <m:t>=               2</m:t>
                    </m:r>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02</m:t>
                        </m:r>
                      </m:sup>
                    </m:sSubSup>
                  </m:oMath>
                </m:oMathPara>
              </a14:m>
              <a:endParaRPr lang="en-US" sz="1400" b="0"/>
            </a:p>
          </xdr:txBody>
        </xdr:sp>
      </mc:Choice>
      <mc:Fallback xmlns="">
        <xdr:sp macro="" textlink="">
          <xdr:nvSpPr>
            <xdr:cNvPr id="9" name="TextBox 8">
              <a:extLst>
                <a:ext uri="{FF2B5EF4-FFF2-40B4-BE49-F238E27FC236}">
                  <a16:creationId xmlns:a16="http://schemas.microsoft.com/office/drawing/2014/main" id="{958515B8-0E16-7E4B-9F8E-B71D6A6B7F96}"/>
                </a:ext>
              </a:extLst>
            </xdr:cNvPr>
            <xdr:cNvSpPr txBox="1"/>
          </xdr:nvSpPr>
          <xdr:spPr>
            <a:xfrm>
              <a:off x="6527800" y="2413000"/>
              <a:ext cx="203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i="1">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0" i="0">
                  <a:latin typeface="Cambria Math" panose="02040503050406030204" pitchFamily="18" charset="0"/>
                </a:rPr>
                <a:t>𝜇_𝑥^12=               2𝜇_𝑥^02</a:t>
              </a:r>
              <a:endParaRPr lang="en-US" sz="1400" b="0"/>
            </a:p>
          </xdr:txBody>
        </xdr:sp>
      </mc:Fallback>
    </mc:AlternateContent>
    <xdr:clientData/>
  </xdr:oneCellAnchor>
  <xdr:oneCellAnchor>
    <xdr:from>
      <xdr:col>0</xdr:col>
      <xdr:colOff>706545</xdr:colOff>
      <xdr:row>21</xdr:row>
      <xdr:rowOff>120650</xdr:rowOff>
    </xdr:from>
    <xdr:ext cx="656908" cy="265009"/>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86071B9B-F824-F042-A620-F24A54DFEC71}"/>
                </a:ext>
              </a:extLst>
            </xdr:cNvPr>
            <xdr:cNvSpPr txBox="1"/>
          </xdr:nvSpPr>
          <xdr:spPr>
            <a:xfrm>
              <a:off x="706545" y="4394200"/>
              <a:ext cx="656908" cy="265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i="1">
                            <a:latin typeface="Cambria Math" panose="02040503050406030204" pitchFamily="18" charset="0"/>
                          </a:rPr>
                        </m:ctrlPr>
                      </m:sSubSupPr>
                      <m:e>
                        <m:sPre>
                          <m:sPrePr>
                            <m:ctrlPr>
                              <a:rPr lang="en-US" sz="1400" i="1">
                                <a:latin typeface="Cambria Math" panose="02040503050406030204" pitchFamily="18" charset="0"/>
                              </a:rPr>
                            </m:ctrlPr>
                          </m:sPrePr>
                          <m:sub>
                            <m:r>
                              <a:rPr lang="en-US" sz="1400" b="0" i="1">
                                <a:latin typeface="Cambria Math" panose="02040503050406030204" pitchFamily="18" charset="0"/>
                              </a:rPr>
                              <m:t>𝑡</m:t>
                            </m:r>
                          </m:sub>
                          <m:sup>
                            <m:r>
                              <a:rPr lang="en-US" sz="1400" b="0" i="1">
                                <a:latin typeface="Cambria Math" panose="02040503050406030204" pitchFamily="18" charset="0"/>
                              </a:rPr>
                              <m:t> </m:t>
                            </m:r>
                          </m:sup>
                          <m:e>
                            <m:r>
                              <a:rPr lang="en-US" sz="1400" b="0" i="1">
                                <a:latin typeface="Cambria Math" panose="02040503050406030204" pitchFamily="18" charset="0"/>
                              </a:rPr>
                              <m:t>𝑝</m:t>
                            </m:r>
                          </m:e>
                        </m:sPre>
                      </m:e>
                      <m:sub>
                        <m:r>
                          <a:rPr lang="en-US" sz="1400" b="0" i="1">
                            <a:latin typeface="Cambria Math" panose="02040503050406030204" pitchFamily="18" charset="0"/>
                          </a:rPr>
                          <m:t>50</m:t>
                        </m:r>
                      </m:sub>
                      <m:sup>
                        <m:r>
                          <a:rPr lang="en-US" sz="1400" b="0" i="1">
                            <a:latin typeface="Cambria Math" panose="02040503050406030204" pitchFamily="18" charset="0"/>
                          </a:rPr>
                          <m:t>0</m:t>
                        </m:r>
                        <m:r>
                          <a:rPr lang="en-US" sz="1400" b="0" i="1">
                            <a:latin typeface="Cambria Math" panose="02040503050406030204" pitchFamily="18" charset="0"/>
                          </a:rPr>
                          <m:t>𝑗</m:t>
                        </m:r>
                      </m:sup>
                    </m:sSubSup>
                  </m:oMath>
                </m:oMathPara>
              </a14:m>
              <a:endParaRPr lang="en-US" sz="1400"/>
            </a:p>
          </xdr:txBody>
        </xdr:sp>
      </mc:Choice>
      <mc:Fallback xmlns="">
        <xdr:sp macro="" textlink="">
          <xdr:nvSpPr>
            <xdr:cNvPr id="11" name="TextBox 10">
              <a:extLst>
                <a:ext uri="{FF2B5EF4-FFF2-40B4-BE49-F238E27FC236}">
                  <a16:creationId xmlns:a16="http://schemas.microsoft.com/office/drawing/2014/main" id="{86071B9B-F824-F042-A620-F24A54DFEC71}"/>
                </a:ext>
              </a:extLst>
            </xdr:cNvPr>
            <xdr:cNvSpPr txBox="1"/>
          </xdr:nvSpPr>
          <xdr:spPr>
            <a:xfrm>
              <a:off x="706545" y="4394200"/>
              <a:ext cx="656908" cy="265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i="0">
                  <a:latin typeface="Cambria Math" panose="02040503050406030204" pitchFamily="18" charset="0"/>
                </a:rPr>
                <a:t>〖(</a:t>
              </a:r>
              <a:r>
                <a:rPr lang="en-US" sz="1400" b="0" i="0">
                  <a:latin typeface="Cambria Math" panose="02040503050406030204" pitchFamily="18" charset="0"/>
                </a:rPr>
                <a:t>_𝑡^ )𝑝〗_50^0𝑗</a:t>
              </a:r>
              <a:endParaRPr lang="en-US" sz="1400"/>
            </a:p>
          </xdr:txBody>
        </xdr:sp>
      </mc:Fallback>
    </mc:AlternateContent>
    <xdr:clientData/>
  </xdr:oneCellAnchor>
  <xdr:oneCellAnchor>
    <xdr:from>
      <xdr:col>8</xdr:col>
      <xdr:colOff>215900</xdr:colOff>
      <xdr:row>9</xdr:row>
      <xdr:rowOff>114300</xdr:rowOff>
    </xdr:from>
    <xdr:ext cx="1574800" cy="304800"/>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6E47BFD8-26AB-5849-BE99-29E1471453C1}"/>
                </a:ext>
              </a:extLst>
            </xdr:cNvPr>
            <xdr:cNvSpPr txBox="1"/>
          </xdr:nvSpPr>
          <xdr:spPr>
            <a:xfrm>
              <a:off x="6819900" y="2235200"/>
              <a:ext cx="15748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02</m:t>
                        </m:r>
                      </m:sup>
                    </m:sSubSup>
                    <m:r>
                      <a:rPr lang="en-US" sz="1400" b="0" i="1">
                        <a:latin typeface="Cambria Math" panose="02040503050406030204" pitchFamily="18" charset="0"/>
                      </a:rPr>
                      <m:t>=           </m:t>
                    </m:r>
                    <m:r>
                      <a:rPr lang="en-US" sz="1400" b="0" i="1">
                        <a:latin typeface="Cambria Math" panose="02040503050406030204" pitchFamily="18" charset="0"/>
                      </a:rPr>
                      <m:t>𝐴</m:t>
                    </m:r>
                    <m:r>
                      <a:rPr lang="en-US" sz="1400" b="0" i="1">
                        <a:latin typeface="Cambria Math" panose="02040503050406030204" pitchFamily="18" charset="0"/>
                      </a:rPr>
                      <m:t>+</m:t>
                    </m:r>
                    <m:r>
                      <a:rPr lang="en-US" sz="1400" b="0" i="1">
                        <a:latin typeface="Cambria Math" panose="02040503050406030204" pitchFamily="18" charset="0"/>
                      </a:rPr>
                      <m:t>𝐵</m:t>
                    </m:r>
                    <m:sSup>
                      <m:sSupPr>
                        <m:ctrlPr>
                          <a:rPr lang="en-US" sz="1400" b="0" i="1">
                            <a:latin typeface="Cambria Math" panose="02040503050406030204" pitchFamily="18" charset="0"/>
                          </a:rPr>
                        </m:ctrlPr>
                      </m:sSupPr>
                      <m:e>
                        <m:r>
                          <a:rPr lang="en-US" sz="1400" b="0" i="1">
                            <a:latin typeface="Cambria Math" panose="02040503050406030204" pitchFamily="18" charset="0"/>
                          </a:rPr>
                          <m:t>𝑐</m:t>
                        </m:r>
                      </m:e>
                      <m:sup>
                        <m:r>
                          <a:rPr lang="en-US" sz="1400" b="0" i="1">
                            <a:latin typeface="Cambria Math" panose="02040503050406030204" pitchFamily="18" charset="0"/>
                          </a:rPr>
                          <m:t>𝑥</m:t>
                        </m:r>
                      </m:sup>
                    </m:sSup>
                  </m:oMath>
                </m:oMathPara>
              </a14:m>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xdr:txBody>
        </xdr:sp>
      </mc:Choice>
      <mc:Fallback xmlns="">
        <xdr:sp macro="" textlink="">
          <xdr:nvSpPr>
            <xdr:cNvPr id="13" name="TextBox 12">
              <a:extLst>
                <a:ext uri="{FF2B5EF4-FFF2-40B4-BE49-F238E27FC236}">
                  <a16:creationId xmlns:a16="http://schemas.microsoft.com/office/drawing/2014/main" id="{6E47BFD8-26AB-5849-BE99-29E1471453C1}"/>
                </a:ext>
              </a:extLst>
            </xdr:cNvPr>
            <xdr:cNvSpPr txBox="1"/>
          </xdr:nvSpPr>
          <xdr:spPr>
            <a:xfrm>
              <a:off x="6819900" y="2235200"/>
              <a:ext cx="15748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b="0" i="0">
                  <a:latin typeface="Cambria Math" panose="02040503050406030204" pitchFamily="18" charset="0"/>
                </a:rPr>
                <a:t>𝜇_𝑥^02=           𝐴+𝐵𝑐^𝑥</a:t>
              </a:r>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xdr:txBody>
        </xdr:sp>
      </mc:Fallback>
    </mc:AlternateContent>
    <xdr:clientData/>
  </xdr:oneCellAnchor>
  <xdr:oneCellAnchor>
    <xdr:from>
      <xdr:col>7</xdr:col>
      <xdr:colOff>812800</xdr:colOff>
      <xdr:row>8</xdr:row>
      <xdr:rowOff>12700</xdr:rowOff>
    </xdr:from>
    <xdr:ext cx="977900" cy="355600"/>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9EDDA2BF-FB82-174B-8DED-A3369D98DDD6}"/>
                </a:ext>
              </a:extLst>
            </xdr:cNvPr>
            <xdr:cNvSpPr txBox="1"/>
          </xdr:nvSpPr>
          <xdr:spPr>
            <a:xfrm>
              <a:off x="6591300" y="1866900"/>
              <a:ext cx="977900"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01</m:t>
                        </m:r>
                      </m:sup>
                    </m:sSubSup>
                    <m:r>
                      <a:rPr lang="en-US" sz="1400" b="0" i="1">
                        <a:latin typeface="Cambria Math" panose="02040503050406030204" pitchFamily="18" charset="0"/>
                      </a:rPr>
                      <m:t>= </m:t>
                    </m:r>
                  </m:oMath>
                </m:oMathPara>
              </a14:m>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a:p>
              <a:endParaRPr lang="en-US" sz="1400"/>
            </a:p>
          </xdr:txBody>
        </xdr:sp>
      </mc:Choice>
      <mc:Fallback xmlns="">
        <xdr:sp macro="" textlink="">
          <xdr:nvSpPr>
            <xdr:cNvPr id="14" name="TextBox 13">
              <a:extLst>
                <a:ext uri="{FF2B5EF4-FFF2-40B4-BE49-F238E27FC236}">
                  <a16:creationId xmlns:a16="http://schemas.microsoft.com/office/drawing/2014/main" id="{9EDDA2BF-FB82-174B-8DED-A3369D98DDD6}"/>
                </a:ext>
              </a:extLst>
            </xdr:cNvPr>
            <xdr:cNvSpPr txBox="1"/>
          </xdr:nvSpPr>
          <xdr:spPr>
            <a:xfrm>
              <a:off x="6591300" y="1866900"/>
              <a:ext cx="977900"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400" b="0" i="0">
                  <a:latin typeface="Cambria Math" panose="02040503050406030204" pitchFamily="18" charset="0"/>
                </a:rPr>
                <a:t>𝜇_𝑥^01= </a:t>
              </a:r>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a:p>
              <a:endParaRPr lang="en-US" sz="1400"/>
            </a:p>
          </xdr:txBody>
        </xdr:sp>
      </mc:Fallback>
    </mc:AlternateContent>
    <xdr:clientData/>
  </xdr:oneCellAnchor>
  <xdr:oneCellAnchor>
    <xdr:from>
      <xdr:col>2</xdr:col>
      <xdr:colOff>156210</xdr:colOff>
      <xdr:row>23</xdr:row>
      <xdr:rowOff>207011</xdr:rowOff>
    </xdr:from>
    <xdr:ext cx="533400" cy="215899"/>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AAD1CE7-F638-1D45-B042-2190FBE14B2A}"/>
                </a:ext>
              </a:extLst>
            </xdr:cNvPr>
            <xdr:cNvSpPr txBox="1"/>
          </xdr:nvSpPr>
          <xdr:spPr>
            <a:xfrm>
              <a:off x="1870710" y="488696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𝟎𝟏</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5" name="TextBox 14">
              <a:extLst>
                <a:ext uri="{FF2B5EF4-FFF2-40B4-BE49-F238E27FC236}">
                  <a16:creationId xmlns:a16="http://schemas.microsoft.com/office/drawing/2014/main" id="{0AAD1CE7-F638-1D45-B042-2190FBE14B2A}"/>
                </a:ext>
              </a:extLst>
            </xdr:cNvPr>
            <xdr:cNvSpPr txBox="1"/>
          </xdr:nvSpPr>
          <xdr:spPr>
            <a:xfrm>
              <a:off x="1870710" y="488696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𝝁_(𝟓𝟎+𝒕)^𝟎𝟏</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xdr:col>
      <xdr:colOff>243840</xdr:colOff>
      <xdr:row>23</xdr:row>
      <xdr:rowOff>207011</xdr:rowOff>
    </xdr:from>
    <xdr:ext cx="533400" cy="228600"/>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95AD7B6A-2962-8A40-9E78-EC280F4E2F92}"/>
                </a:ext>
              </a:extLst>
            </xdr:cNvPr>
            <xdr:cNvSpPr txBox="1"/>
          </xdr:nvSpPr>
          <xdr:spPr>
            <a:xfrm>
              <a:off x="2815590" y="488696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𝟎𝟐</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6" name="TextBox 15">
              <a:extLst>
                <a:ext uri="{FF2B5EF4-FFF2-40B4-BE49-F238E27FC236}">
                  <a16:creationId xmlns:a16="http://schemas.microsoft.com/office/drawing/2014/main" id="{95AD7B6A-2962-8A40-9E78-EC280F4E2F92}"/>
                </a:ext>
              </a:extLst>
            </xdr:cNvPr>
            <xdr:cNvSpPr txBox="1"/>
          </xdr:nvSpPr>
          <xdr:spPr>
            <a:xfrm>
              <a:off x="2815590" y="488696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𝝁_(𝟓𝟎+𝒕)^𝟎𝟐</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4</xdr:col>
      <xdr:colOff>83185</xdr:colOff>
      <xdr:row>24</xdr:row>
      <xdr:rowOff>10161</xdr:rowOff>
    </xdr:from>
    <xdr:ext cx="723900" cy="228599"/>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33DFEDAF-1BAE-9548-ADFC-29FE8E67EB96}"/>
                </a:ext>
              </a:extLst>
            </xdr:cNvPr>
            <xdr:cNvSpPr txBox="1"/>
          </xdr:nvSpPr>
          <xdr:spPr>
            <a:xfrm>
              <a:off x="3702685" y="489966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𝟏𝟐</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7" name="TextBox 16">
              <a:extLst>
                <a:ext uri="{FF2B5EF4-FFF2-40B4-BE49-F238E27FC236}">
                  <a16:creationId xmlns:a16="http://schemas.microsoft.com/office/drawing/2014/main" id="{33DFEDAF-1BAE-9548-ADFC-29FE8E67EB96}"/>
                </a:ext>
              </a:extLst>
            </xdr:cNvPr>
            <xdr:cNvSpPr txBox="1"/>
          </xdr:nvSpPr>
          <xdr:spPr>
            <a:xfrm>
              <a:off x="3702685" y="489966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𝝁_(𝟓𝟎+𝒕)^𝟏𝟐</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5</xdr:col>
      <xdr:colOff>100965</xdr:colOff>
      <xdr:row>23</xdr:row>
      <xdr:rowOff>198755</xdr:rowOff>
    </xdr:from>
    <xdr:ext cx="656908" cy="23525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1E5A5AF-A89C-AC4A-9609-35D4D9D50900}"/>
                </a:ext>
              </a:extLst>
            </xdr:cNvPr>
            <xdr:cNvSpPr txBox="1"/>
          </xdr:nvSpPr>
          <xdr:spPr>
            <a:xfrm>
              <a:off x="4577715" y="4878705"/>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𝟎𝟎</m:t>
                        </m:r>
                      </m:sup>
                    </m:sSubSup>
                  </m:oMath>
                </m:oMathPara>
              </a14:m>
              <a:endParaRPr lang="en-US" sz="1400" b="1"/>
            </a:p>
          </xdr:txBody>
        </xdr:sp>
      </mc:Choice>
      <mc:Fallback xmlns="">
        <xdr:sp macro="" textlink="">
          <xdr:nvSpPr>
            <xdr:cNvPr id="18" name="TextBox 17">
              <a:extLst>
                <a:ext uri="{FF2B5EF4-FFF2-40B4-BE49-F238E27FC236}">
                  <a16:creationId xmlns:a16="http://schemas.microsoft.com/office/drawing/2014/main" id="{01E5A5AF-A89C-AC4A-9609-35D4D9D50900}"/>
                </a:ext>
              </a:extLst>
            </xdr:cNvPr>
            <xdr:cNvSpPr txBox="1"/>
          </xdr:nvSpPr>
          <xdr:spPr>
            <a:xfrm>
              <a:off x="4577715" y="4878705"/>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)𝒑〗_𝟓𝟎^𝟎𝟎</a:t>
              </a:r>
              <a:endParaRPr lang="en-US" sz="1400" b="1"/>
            </a:p>
          </xdr:txBody>
        </xdr:sp>
      </mc:Fallback>
    </mc:AlternateContent>
    <xdr:clientData/>
  </xdr:oneCellAnchor>
  <xdr:oneCellAnchor>
    <xdr:from>
      <xdr:col>6</xdr:col>
      <xdr:colOff>93980</xdr:colOff>
      <xdr:row>23</xdr:row>
      <xdr:rowOff>203200</xdr:rowOff>
    </xdr:from>
    <xdr:ext cx="656908" cy="23525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85A9D199-FCDB-8247-BACD-8A763E57B14D}"/>
                </a:ext>
              </a:extLst>
            </xdr:cNvPr>
            <xdr:cNvSpPr txBox="1"/>
          </xdr:nvSpPr>
          <xdr:spPr>
            <a:xfrm>
              <a:off x="5427980" y="488315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𝟎𝟏</m:t>
                        </m:r>
                      </m:sup>
                    </m:sSubSup>
                  </m:oMath>
                </m:oMathPara>
              </a14:m>
              <a:endParaRPr lang="en-US" sz="1400" b="1"/>
            </a:p>
          </xdr:txBody>
        </xdr:sp>
      </mc:Choice>
      <mc:Fallback xmlns="">
        <xdr:sp macro="" textlink="">
          <xdr:nvSpPr>
            <xdr:cNvPr id="19" name="TextBox 18">
              <a:extLst>
                <a:ext uri="{FF2B5EF4-FFF2-40B4-BE49-F238E27FC236}">
                  <a16:creationId xmlns:a16="http://schemas.microsoft.com/office/drawing/2014/main" id="{85A9D199-FCDB-8247-BACD-8A763E57B14D}"/>
                </a:ext>
              </a:extLst>
            </xdr:cNvPr>
            <xdr:cNvSpPr txBox="1"/>
          </xdr:nvSpPr>
          <xdr:spPr>
            <a:xfrm>
              <a:off x="5427980" y="488315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)𝒑〗_𝟓𝟎^𝟎𝟏</a:t>
              </a:r>
              <a:endParaRPr lang="en-US" sz="1400" b="1"/>
            </a:p>
          </xdr:txBody>
        </xdr:sp>
      </mc:Fallback>
    </mc:AlternateContent>
    <xdr:clientData/>
  </xdr:oneCellAnchor>
  <xdr:oneCellAnchor>
    <xdr:from>
      <xdr:col>7</xdr:col>
      <xdr:colOff>105410</xdr:colOff>
      <xdr:row>23</xdr:row>
      <xdr:rowOff>200660</xdr:rowOff>
    </xdr:from>
    <xdr:ext cx="656908" cy="23525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2BA0448F-EE67-9B4B-A591-D9FD1B7EF598}"/>
                </a:ext>
              </a:extLst>
            </xdr:cNvPr>
            <xdr:cNvSpPr txBox="1"/>
          </xdr:nvSpPr>
          <xdr:spPr>
            <a:xfrm>
              <a:off x="6296660" y="488061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𝟎𝟐</m:t>
                        </m:r>
                      </m:sup>
                    </m:sSubSup>
                  </m:oMath>
                </m:oMathPara>
              </a14:m>
              <a:endParaRPr lang="en-US" sz="1400" b="1"/>
            </a:p>
          </xdr:txBody>
        </xdr:sp>
      </mc:Choice>
      <mc:Fallback xmlns="">
        <xdr:sp macro="" textlink="">
          <xdr:nvSpPr>
            <xdr:cNvPr id="20" name="TextBox 19">
              <a:extLst>
                <a:ext uri="{FF2B5EF4-FFF2-40B4-BE49-F238E27FC236}">
                  <a16:creationId xmlns:a16="http://schemas.microsoft.com/office/drawing/2014/main" id="{2BA0448F-EE67-9B4B-A591-D9FD1B7EF598}"/>
                </a:ext>
              </a:extLst>
            </xdr:cNvPr>
            <xdr:cNvSpPr txBox="1"/>
          </xdr:nvSpPr>
          <xdr:spPr>
            <a:xfrm>
              <a:off x="6296660" y="488061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)𝒑〗_𝟓𝟎^𝟎𝟐</a:t>
              </a:r>
              <a:endParaRPr lang="en-US" sz="1400" b="1"/>
            </a:p>
          </xdr:txBody>
        </xdr:sp>
      </mc:Fallback>
    </mc:AlternateContent>
    <xdr:clientData/>
  </xdr:oneCellAnchor>
  <xdr:oneCellAnchor>
    <xdr:from>
      <xdr:col>2</xdr:col>
      <xdr:colOff>116351</xdr:colOff>
      <xdr:row>98</xdr:row>
      <xdr:rowOff>148052</xdr:rowOff>
    </xdr:from>
    <xdr:ext cx="656908" cy="23525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52CCC5F2-E374-564C-8538-C3A0A879F256}"/>
                </a:ext>
              </a:extLst>
            </xdr:cNvPr>
            <xdr:cNvSpPr txBox="1"/>
          </xdr:nvSpPr>
          <xdr:spPr>
            <a:xfrm>
              <a:off x="1830851" y="2030441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𝟎𝟎</m:t>
                        </m:r>
                      </m:sup>
                    </m:sSubSup>
                  </m:oMath>
                </m:oMathPara>
              </a14:m>
              <a:endParaRPr lang="en-US" sz="1400" b="1"/>
            </a:p>
          </xdr:txBody>
        </xdr:sp>
      </mc:Choice>
      <mc:Fallback xmlns="">
        <xdr:sp macro="" textlink="">
          <xdr:nvSpPr>
            <xdr:cNvPr id="21" name="TextBox 20">
              <a:extLst>
                <a:ext uri="{FF2B5EF4-FFF2-40B4-BE49-F238E27FC236}">
                  <a16:creationId xmlns:a16="http://schemas.microsoft.com/office/drawing/2014/main" id="{52CCC5F2-E374-564C-8538-C3A0A879F256}"/>
                </a:ext>
              </a:extLst>
            </xdr:cNvPr>
            <xdr:cNvSpPr txBox="1"/>
          </xdr:nvSpPr>
          <xdr:spPr>
            <a:xfrm>
              <a:off x="1830851" y="2030441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)𝒑〗_𝟓𝟎^𝟎𝟎</a:t>
              </a:r>
              <a:endParaRPr lang="en-US" sz="1400" b="1"/>
            </a:p>
          </xdr:txBody>
        </xdr:sp>
      </mc:Fallback>
    </mc:AlternateContent>
    <xdr:clientData/>
  </xdr:oneCellAnchor>
  <xdr:oneCellAnchor>
    <xdr:from>
      <xdr:col>3</xdr:col>
      <xdr:colOff>224009</xdr:colOff>
      <xdr:row>98</xdr:row>
      <xdr:rowOff>138821</xdr:rowOff>
    </xdr:from>
    <xdr:ext cx="656908" cy="23525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5746DF39-C185-BF42-833D-8DD6EBB46934}"/>
                </a:ext>
              </a:extLst>
            </xdr:cNvPr>
            <xdr:cNvSpPr txBox="1"/>
          </xdr:nvSpPr>
          <xdr:spPr>
            <a:xfrm>
              <a:off x="2795759" y="20295186"/>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𝟎𝟏</m:t>
                        </m:r>
                      </m:sup>
                    </m:sSubSup>
                  </m:oMath>
                </m:oMathPara>
              </a14:m>
              <a:endParaRPr lang="en-US" sz="1400" b="1"/>
            </a:p>
          </xdr:txBody>
        </xdr:sp>
      </mc:Choice>
      <mc:Fallback xmlns="">
        <xdr:sp macro="" textlink="">
          <xdr:nvSpPr>
            <xdr:cNvPr id="22" name="TextBox 21">
              <a:extLst>
                <a:ext uri="{FF2B5EF4-FFF2-40B4-BE49-F238E27FC236}">
                  <a16:creationId xmlns:a16="http://schemas.microsoft.com/office/drawing/2014/main" id="{5746DF39-C185-BF42-833D-8DD6EBB46934}"/>
                </a:ext>
              </a:extLst>
            </xdr:cNvPr>
            <xdr:cNvSpPr txBox="1"/>
          </xdr:nvSpPr>
          <xdr:spPr>
            <a:xfrm>
              <a:off x="2795759" y="20295186"/>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)𝒑〗_𝟓𝟎^𝟎𝟏</a:t>
              </a:r>
              <a:endParaRPr lang="en-US" sz="1400" b="1"/>
            </a:p>
          </xdr:txBody>
        </xdr:sp>
      </mc:Fallback>
    </mc:AlternateContent>
    <xdr:clientData/>
  </xdr:oneCellAnchor>
  <xdr:oneCellAnchor>
    <xdr:from>
      <xdr:col>4</xdr:col>
      <xdr:colOff>116401</xdr:colOff>
      <xdr:row>98</xdr:row>
      <xdr:rowOff>148052</xdr:rowOff>
    </xdr:from>
    <xdr:ext cx="656908" cy="23525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982CBCC0-2B54-EF44-ADD2-CBCB31D657E4}"/>
                </a:ext>
              </a:extLst>
            </xdr:cNvPr>
            <xdr:cNvSpPr txBox="1"/>
          </xdr:nvSpPr>
          <xdr:spPr>
            <a:xfrm>
              <a:off x="3735901" y="2030441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𝟎𝟐</m:t>
                        </m:r>
                      </m:sup>
                    </m:sSubSup>
                  </m:oMath>
                </m:oMathPara>
              </a14:m>
              <a:endParaRPr lang="en-US" sz="1400" b="1"/>
            </a:p>
          </xdr:txBody>
        </xdr:sp>
      </mc:Choice>
      <mc:Fallback xmlns="">
        <xdr:sp macro="" textlink="">
          <xdr:nvSpPr>
            <xdr:cNvPr id="23" name="TextBox 22">
              <a:extLst>
                <a:ext uri="{FF2B5EF4-FFF2-40B4-BE49-F238E27FC236}">
                  <a16:creationId xmlns:a16="http://schemas.microsoft.com/office/drawing/2014/main" id="{982CBCC0-2B54-EF44-ADD2-CBCB31D657E4}"/>
                </a:ext>
              </a:extLst>
            </xdr:cNvPr>
            <xdr:cNvSpPr txBox="1"/>
          </xdr:nvSpPr>
          <xdr:spPr>
            <a:xfrm>
              <a:off x="3735901" y="2030441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)𝒑〗_𝟓𝟎^𝟎𝟐</a:t>
              </a:r>
              <a:endParaRPr lang="en-US" sz="1400" b="1"/>
            </a:p>
          </xdr:txBody>
        </xdr:sp>
      </mc:Fallback>
    </mc:AlternateContent>
    <xdr:clientData/>
  </xdr:oneCellAnchor>
  <xdr:oneCellAnchor>
    <xdr:from>
      <xdr:col>7</xdr:col>
      <xdr:colOff>249700</xdr:colOff>
      <xdr:row>166</xdr:row>
      <xdr:rowOff>171272</xdr:rowOff>
    </xdr:from>
    <xdr:ext cx="838200" cy="223010"/>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C8B16552-4588-2542-AEE1-D242A061BE5D}"/>
                </a:ext>
              </a:extLst>
            </xdr:cNvPr>
            <xdr:cNvSpPr txBox="1"/>
          </xdr:nvSpPr>
          <xdr:spPr>
            <a:xfrm>
              <a:off x="6440950" y="35076734"/>
              <a:ext cx="838200" cy="22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01</m:t>
                      </m:r>
                    </m:sup>
                  </m:sSubSup>
                  <m:r>
                    <a:rPr lang="en-US" sz="1400" b="0" i="1">
                      <a:latin typeface="Cambria Math" panose="02040503050406030204" pitchFamily="18" charset="0"/>
                    </a:rPr>
                    <m:t> </m:t>
                  </m:r>
                </m:oMath>
              </a14:m>
              <a:r>
                <a:rPr lang="en-US" sz="1400" b="0"/>
                <a:t>= 0.04</a:t>
              </a:r>
            </a:p>
          </xdr:txBody>
        </xdr:sp>
      </mc:Choice>
      <mc:Fallback xmlns="">
        <xdr:sp macro="" textlink="">
          <xdr:nvSpPr>
            <xdr:cNvPr id="25" name="TextBox 24">
              <a:extLst>
                <a:ext uri="{FF2B5EF4-FFF2-40B4-BE49-F238E27FC236}">
                  <a16:creationId xmlns:a16="http://schemas.microsoft.com/office/drawing/2014/main" id="{C8B16552-4588-2542-AEE1-D242A061BE5D}"/>
                </a:ext>
              </a:extLst>
            </xdr:cNvPr>
            <xdr:cNvSpPr txBox="1"/>
          </xdr:nvSpPr>
          <xdr:spPr>
            <a:xfrm>
              <a:off x="6440950" y="35076734"/>
              <a:ext cx="838200" cy="22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𝜇_𝑥^01  </a:t>
              </a:r>
              <a:r>
                <a:rPr lang="en-US" sz="1400" b="0"/>
                <a:t>= 0.04</a:t>
              </a:r>
            </a:p>
          </xdr:txBody>
        </xdr:sp>
      </mc:Fallback>
    </mc:AlternateContent>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69DB6-87FB-B841-A2F8-D4A162E1A8E9}">
  <sheetPr>
    <pageSetUpPr fitToPage="1"/>
  </sheetPr>
  <dimension ref="A1:J177"/>
  <sheetViews>
    <sheetView zoomScale="120" zoomScaleNormal="120" workbookViewId="0">
      <selection activeCell="B27" sqref="B27"/>
    </sheetView>
  </sheetViews>
  <sheetFormatPr baseColWidth="10" defaultColWidth="11.1640625" defaultRowHeight="16" x14ac:dyDescent="0.2"/>
  <cols>
    <col min="1" max="2" width="11.1640625" style="2"/>
    <col min="3" max="3" width="11.1640625" style="2" bestFit="1" customWidth="1"/>
    <col min="4" max="4" width="13.6640625" style="2" customWidth="1"/>
    <col min="5" max="9" width="11.1640625" style="2"/>
    <col min="10" max="10" width="18.83203125" style="2" customWidth="1"/>
    <col min="11" max="16384" width="11.1640625" style="2"/>
  </cols>
  <sheetData>
    <row r="1" spans="1:10" x14ac:dyDescent="0.2">
      <c r="A1" s="3" t="s">
        <v>5</v>
      </c>
      <c r="B1" s="1"/>
      <c r="C1" s="1"/>
      <c r="D1" s="1"/>
      <c r="E1" s="1"/>
    </row>
    <row r="2" spans="1:10" x14ac:dyDescent="0.2">
      <c r="A2" s="1" t="s">
        <v>6</v>
      </c>
      <c r="B2" s="1"/>
      <c r="C2" s="1"/>
      <c r="D2" s="1"/>
      <c r="E2" s="1"/>
    </row>
    <row r="3" spans="1:10" x14ac:dyDescent="0.2">
      <c r="A3" s="3" t="s">
        <v>65</v>
      </c>
      <c r="B3" s="1"/>
      <c r="C3" s="1"/>
      <c r="D3" s="1"/>
      <c r="E3" s="1"/>
    </row>
    <row r="4" spans="1:10" x14ac:dyDescent="0.2">
      <c r="A4" s="134" t="s">
        <v>16</v>
      </c>
      <c r="B4" s="134"/>
      <c r="C4" s="134"/>
      <c r="D4" s="134"/>
      <c r="E4" s="134"/>
      <c r="F4" s="134"/>
      <c r="G4" s="134"/>
      <c r="H4" s="134"/>
      <c r="I4" s="134"/>
      <c r="J4" s="134"/>
    </row>
    <row r="5" spans="1:10" x14ac:dyDescent="0.2">
      <c r="A5" s="134"/>
      <c r="B5" s="134"/>
      <c r="C5" s="134"/>
      <c r="D5" s="134"/>
      <c r="E5" s="134"/>
      <c r="F5" s="134"/>
      <c r="G5" s="134"/>
      <c r="H5" s="134"/>
      <c r="I5" s="134"/>
      <c r="J5" s="134"/>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4">
        <v>0.02</v>
      </c>
    </row>
    <row r="10" spans="1:10" x14ac:dyDescent="0.2">
      <c r="A10" s="1"/>
      <c r="B10" s="1"/>
      <c r="C10" s="1"/>
      <c r="D10" s="1"/>
      <c r="E10" s="1"/>
      <c r="F10" s="1"/>
      <c r="G10" s="1"/>
      <c r="H10" s="1"/>
      <c r="I10" s="1"/>
      <c r="J10" s="1"/>
    </row>
    <row r="11" spans="1:10" x14ac:dyDescent="0.2">
      <c r="A11" s="1"/>
      <c r="B11" s="1"/>
      <c r="C11" s="1"/>
      <c r="D11" s="1"/>
      <c r="E11" s="1"/>
      <c r="F11" s="1"/>
      <c r="G11" s="1"/>
      <c r="H11" s="1"/>
      <c r="I11" s="1"/>
      <c r="J11" s="1"/>
    </row>
    <row r="12" spans="1:10" x14ac:dyDescent="0.2">
      <c r="A12" s="1"/>
      <c r="B12" s="1"/>
      <c r="C12" s="1"/>
      <c r="D12" s="1"/>
      <c r="E12" s="1"/>
      <c r="F12" s="1"/>
      <c r="G12" s="1"/>
      <c r="H12" s="1"/>
      <c r="I12" s="1"/>
      <c r="J12" s="1"/>
    </row>
    <row r="13" spans="1:10" x14ac:dyDescent="0.2">
      <c r="A13" s="1"/>
      <c r="B13" s="1"/>
      <c r="C13" s="1"/>
      <c r="D13" s="1"/>
      <c r="E13" s="1"/>
      <c r="F13" s="1"/>
      <c r="G13" s="1"/>
      <c r="H13" s="1"/>
      <c r="I13" s="1"/>
      <c r="J13" s="1"/>
    </row>
    <row r="14" spans="1:10" x14ac:dyDescent="0.2">
      <c r="A14" s="1"/>
      <c r="B14" s="1"/>
      <c r="C14" s="1"/>
      <c r="D14" s="1"/>
      <c r="E14" s="1"/>
      <c r="F14" s="1"/>
      <c r="G14" s="1"/>
      <c r="H14" s="1"/>
      <c r="I14" s="1"/>
      <c r="J14" s="1"/>
    </row>
    <row r="15" spans="1:10" x14ac:dyDescent="0.2">
      <c r="A15" s="1"/>
      <c r="B15" s="1"/>
      <c r="C15" s="1"/>
      <c r="D15" s="1"/>
      <c r="E15" s="1"/>
      <c r="F15" s="1"/>
      <c r="G15" s="1"/>
      <c r="H15" s="1"/>
      <c r="I15" s="4" t="s">
        <v>7</v>
      </c>
      <c r="J15" s="4">
        <v>2.2000000000000001E-4</v>
      </c>
    </row>
    <row r="16" spans="1:10" x14ac:dyDescent="0.2">
      <c r="A16" s="1"/>
      <c r="B16" s="1"/>
      <c r="C16" s="1"/>
      <c r="D16" s="1"/>
      <c r="E16" s="1"/>
      <c r="F16" s="1"/>
      <c r="G16" s="1"/>
      <c r="H16" s="1"/>
      <c r="I16" s="4" t="s">
        <v>8</v>
      </c>
      <c r="J16" s="5">
        <v>2.7E-6</v>
      </c>
    </row>
    <row r="17" spans="1:10" x14ac:dyDescent="0.2">
      <c r="A17" s="1"/>
      <c r="B17" s="1"/>
      <c r="C17" s="1"/>
      <c r="D17" s="1"/>
      <c r="E17" s="1"/>
      <c r="F17" s="1"/>
      <c r="G17" s="1"/>
      <c r="H17" s="1"/>
      <c r="I17" s="4" t="s">
        <v>9</v>
      </c>
      <c r="J17" s="4">
        <v>1.1240000000000001</v>
      </c>
    </row>
    <row r="18" spans="1:10" x14ac:dyDescent="0.2">
      <c r="A18" s="1"/>
      <c r="B18" s="1"/>
      <c r="C18" s="1"/>
      <c r="D18" s="1"/>
      <c r="E18" s="1"/>
      <c r="F18" s="1"/>
      <c r="G18" s="1"/>
      <c r="H18" s="1"/>
      <c r="I18" s="1"/>
      <c r="J18" s="1"/>
    </row>
    <row r="19" spans="1:10" x14ac:dyDescent="0.2">
      <c r="A19" s="1"/>
      <c r="B19" s="1"/>
      <c r="C19" s="1"/>
      <c r="D19" s="1"/>
      <c r="E19" s="1"/>
      <c r="F19" s="1"/>
      <c r="G19" s="1"/>
      <c r="H19" s="1" t="s">
        <v>10</v>
      </c>
      <c r="I19" s="4" t="s">
        <v>11</v>
      </c>
      <c r="J19" s="4">
        <f>1/12</f>
        <v>8.3333333333333329E-2</v>
      </c>
    </row>
    <row r="20" spans="1:10" x14ac:dyDescent="0.2">
      <c r="A20" s="1"/>
      <c r="B20" s="1"/>
      <c r="C20" s="1"/>
      <c r="D20" s="1"/>
      <c r="E20" s="1"/>
      <c r="F20" s="1"/>
      <c r="G20" s="1"/>
      <c r="H20" s="1"/>
      <c r="I20" s="1"/>
      <c r="J20" s="1"/>
    </row>
    <row r="21" spans="1:10" x14ac:dyDescent="0.2">
      <c r="A21" s="1"/>
      <c r="B21" s="1"/>
      <c r="C21" s="1"/>
      <c r="D21" s="1"/>
      <c r="E21" s="1"/>
      <c r="F21" s="1"/>
      <c r="G21" s="1"/>
      <c r="H21" s="1"/>
      <c r="I21" s="1"/>
      <c r="J21" s="1"/>
    </row>
    <row r="23" spans="1:10" x14ac:dyDescent="0.2">
      <c r="A23" s="6" t="s">
        <v>66</v>
      </c>
      <c r="B23" s="1"/>
      <c r="C23" s="1"/>
      <c r="D23" s="1"/>
      <c r="E23" s="1"/>
      <c r="F23" s="1"/>
      <c r="G23" s="1"/>
      <c r="H23" s="1"/>
      <c r="I23" s="1"/>
      <c r="J23" s="1"/>
    </row>
    <row r="24" spans="1:10" ht="17" thickBot="1" x14ac:dyDescent="0.25"/>
    <row r="25" spans="1:10" ht="19.75" customHeight="1" thickBot="1" x14ac:dyDescent="0.25">
      <c r="A25" s="2" t="s">
        <v>17</v>
      </c>
      <c r="B25" s="7" t="s">
        <v>0</v>
      </c>
      <c r="C25" s="8"/>
      <c r="D25" s="8"/>
      <c r="E25" s="8"/>
      <c r="F25" s="9"/>
      <c r="G25" s="8"/>
      <c r="H25" s="8"/>
    </row>
    <row r="26" spans="1:10" x14ac:dyDescent="0.2">
      <c r="B26" s="10">
        <v>0</v>
      </c>
      <c r="C26" s="11">
        <f>0.02</f>
        <v>0.02</v>
      </c>
      <c r="D26" s="11">
        <f t="shared" ref="D26:D57" si="0">A+B*(cc^(50+B26))</f>
        <v>1.1525654591976727E-3</v>
      </c>
      <c r="E26" s="11">
        <f>2*D26</f>
        <v>2.3051309183953453E-3</v>
      </c>
      <c r="F26" s="12">
        <v>1</v>
      </c>
      <c r="G26" s="12">
        <v>0</v>
      </c>
      <c r="H26" s="12">
        <v>0</v>
      </c>
    </row>
    <row r="27" spans="1:10" x14ac:dyDescent="0.2">
      <c r="B27" s="13">
        <f t="shared" ref="B27:B58" si="1">B26+h</f>
        <v>8.3333333333333329E-2</v>
      </c>
      <c r="C27" s="14">
        <f t="shared" ref="C27:C86" si="2">0.02</f>
        <v>0.02</v>
      </c>
      <c r="D27" s="14">
        <f t="shared" si="0"/>
        <v>1.1616941050001776E-3</v>
      </c>
      <c r="E27" s="14">
        <f t="shared" ref="E27:E86" si="3">2*D27</f>
        <v>2.3233882100003552E-3</v>
      </c>
      <c r="F27" s="15">
        <f t="shared" ref="F27:F58" si="4">F26-h*(F26*C26+F26*D26)</f>
        <v>0.99823728621173358</v>
      </c>
      <c r="G27" s="15">
        <f t="shared" ref="G27:G58" si="5">G26+h*(F26*C26-G26*E26)</f>
        <v>1.6666666666666666E-3</v>
      </c>
      <c r="H27" s="15">
        <f t="shared" ref="H27:H58" si="6">H26+h*(F26*D26+G26*E26)</f>
        <v>9.6047121599806054E-5</v>
      </c>
    </row>
    <row r="28" spans="1:10" x14ac:dyDescent="0.2">
      <c r="B28" s="13">
        <f t="shared" si="1"/>
        <v>0.16666666666666666</v>
      </c>
      <c r="C28" s="14">
        <f t="shared" si="2"/>
        <v>0.02</v>
      </c>
      <c r="D28" s="14">
        <f t="shared" si="0"/>
        <v>1.1709121087918369E-3</v>
      </c>
      <c r="E28" s="14">
        <f t="shared" si="3"/>
        <v>2.3418242175836739E-3</v>
      </c>
      <c r="F28" s="15">
        <f t="shared" si="4"/>
        <v>0.9964769202038154</v>
      </c>
      <c r="G28" s="15">
        <f t="shared" si="5"/>
        <v>3.3300727842126114E-3</v>
      </c>
      <c r="H28" s="15">
        <f t="shared" si="6"/>
        <v>1.9300701197204605E-4</v>
      </c>
    </row>
    <row r="29" spans="1:10" x14ac:dyDescent="0.2">
      <c r="B29" s="13">
        <f t="shared" si="1"/>
        <v>0.25</v>
      </c>
      <c r="C29" s="14">
        <f t="shared" si="2"/>
        <v>0.02</v>
      </c>
      <c r="D29" s="14">
        <f t="shared" si="0"/>
        <v>1.1802203452752501E-3</v>
      </c>
      <c r="E29" s="14">
        <f t="shared" si="3"/>
        <v>2.3604406905505001E-3</v>
      </c>
      <c r="F29" s="15">
        <f t="shared" si="4"/>
        <v>0.99471889309580919</v>
      </c>
      <c r="G29" s="15">
        <f t="shared" si="5"/>
        <v>4.9902177807946042E-3</v>
      </c>
      <c r="H29" s="15">
        <f t="shared" si="6"/>
        <v>2.9088912339626522E-4</v>
      </c>
    </row>
    <row r="30" spans="1:10" x14ac:dyDescent="0.2">
      <c r="B30" s="13">
        <f t="shared" si="1"/>
        <v>0.33333333333333331</v>
      </c>
      <c r="C30" s="14">
        <f t="shared" si="2"/>
        <v>0.02</v>
      </c>
      <c r="D30" s="14">
        <f t="shared" si="0"/>
        <v>1.1896196977152591E-3</v>
      </c>
      <c r="E30" s="14">
        <f t="shared" si="3"/>
        <v>2.3792393954305182E-3</v>
      </c>
      <c r="F30" s="15">
        <f t="shared" si="4"/>
        <v>0.99296319598436111</v>
      </c>
      <c r="G30" s="15">
        <f t="shared" si="5"/>
        <v>6.6471010098622454E-3</v>
      </c>
      <c r="H30" s="15">
        <f t="shared" si="6"/>
        <v>3.8970300577675243E-4</v>
      </c>
    </row>
    <row r="31" spans="1:10" x14ac:dyDescent="0.2">
      <c r="B31" s="13">
        <f t="shared" si="1"/>
        <v>0.41666666666666663</v>
      </c>
      <c r="C31" s="14">
        <f t="shared" si="2"/>
        <v>0.02</v>
      </c>
      <c r="D31" s="14">
        <f t="shared" si="0"/>
        <v>1.1991110580227597E-3</v>
      </c>
      <c r="E31" s="14">
        <f t="shared" si="3"/>
        <v>2.3982221160455193E-3</v>
      </c>
      <c r="F31" s="15">
        <f t="shared" si="4"/>
        <v>0.99120981994296642</v>
      </c>
      <c r="G31" s="15">
        <f t="shared" si="5"/>
        <v>8.3007217494538415E-3</v>
      </c>
      <c r="H31" s="15">
        <f t="shared" si="6"/>
        <v>4.89458307579866E-4</v>
      </c>
    </row>
    <row r="32" spans="1:10" x14ac:dyDescent="0.2">
      <c r="B32" s="13">
        <f t="shared" si="1"/>
        <v>0.49999999999999994</v>
      </c>
      <c r="C32" s="14">
        <f t="shared" si="2"/>
        <v>0.02</v>
      </c>
      <c r="D32" s="14">
        <f t="shared" si="0"/>
        <v>1.2086953268393382E-3</v>
      </c>
      <c r="E32" s="14">
        <f t="shared" si="3"/>
        <v>2.4173906536786765E-3</v>
      </c>
      <c r="F32" s="15">
        <f t="shared" si="4"/>
        <v>0.98945875602173528</v>
      </c>
      <c r="G32" s="15">
        <f t="shared" si="5"/>
        <v>9.9510792014855624E-3</v>
      </c>
      <c r="H32" s="15">
        <f t="shared" si="6"/>
        <v>5.9016477677928598E-4</v>
      </c>
    </row>
    <row r="33" spans="2:8" x14ac:dyDescent="0.2">
      <c r="B33" s="13">
        <f t="shared" si="1"/>
        <v>0.58333333333333326</v>
      </c>
      <c r="C33" s="14">
        <f t="shared" si="2"/>
        <v>0.02</v>
      </c>
      <c r="D33" s="14">
        <f t="shared" si="0"/>
        <v>1.2183734136227316E-3</v>
      </c>
      <c r="E33" s="14">
        <f t="shared" si="3"/>
        <v>2.4367468272454632E-3</v>
      </c>
      <c r="F33" s="15">
        <f t="shared" si="4"/>
        <v>0.98770999524715708</v>
      </c>
      <c r="G33" s="15">
        <f t="shared" si="5"/>
        <v>1.1598172491033815E-2</v>
      </c>
      <c r="H33" s="15">
        <f t="shared" si="6"/>
        <v>6.91832261809238E-4</v>
      </c>
    </row>
    <row r="34" spans="2:8" x14ac:dyDescent="0.2">
      <c r="B34" s="13">
        <f t="shared" si="1"/>
        <v>0.66666666666666663</v>
      </c>
      <c r="C34" s="14">
        <f t="shared" si="2"/>
        <v>0.02</v>
      </c>
      <c r="D34" s="14">
        <f t="shared" si="0"/>
        <v>1.2281462367331232E-3</v>
      </c>
      <c r="E34" s="14">
        <f t="shared" si="3"/>
        <v>2.4562924734662464E-3</v>
      </c>
      <c r="F34" s="15">
        <f t="shared" si="4"/>
        <v>0.98596352862186365</v>
      </c>
      <c r="G34" s="15">
        <f t="shared" si="5"/>
        <v>1.3242000665610796E-2</v>
      </c>
      <c r="H34" s="15">
        <f t="shared" si="6"/>
        <v>7.9447071252573321E-4</v>
      </c>
    </row>
    <row r="35" spans="2:8" x14ac:dyDescent="0.2">
      <c r="B35" s="13">
        <f t="shared" si="1"/>
        <v>0.75</v>
      </c>
      <c r="C35" s="14">
        <f t="shared" si="2"/>
        <v>0.02</v>
      </c>
      <c r="D35" s="14">
        <f t="shared" si="0"/>
        <v>1.2380147235202961E-3</v>
      </c>
      <c r="E35" s="14">
        <f t="shared" si="3"/>
        <v>2.4760294470405923E-3</v>
      </c>
      <c r="F35" s="15">
        <f t="shared" si="4"/>
        <v>0.98421934712439108</v>
      </c>
      <c r="G35" s="15">
        <f t="shared" si="5"/>
        <v>1.4882562694433187E-2</v>
      </c>
      <c r="H35" s="15">
        <f t="shared" si="6"/>
        <v>8.9809018117586884E-4</v>
      </c>
    </row>
    <row r="36" spans="2:8" x14ac:dyDescent="0.2">
      <c r="B36" s="13">
        <f t="shared" si="1"/>
        <v>0.83333333333333337</v>
      </c>
      <c r="C36" s="14">
        <f t="shared" si="2"/>
        <v>0.02</v>
      </c>
      <c r="D36" s="14">
        <f t="shared" si="0"/>
        <v>1.2479798104116208E-3</v>
      </c>
      <c r="E36" s="14">
        <f t="shared" si="3"/>
        <v>2.4959596208232416E-3</v>
      </c>
      <c r="F36" s="15">
        <f t="shared" si="4"/>
        <v>0.98247744170894091</v>
      </c>
      <c r="G36" s="15">
        <f t="shared" si="5"/>
        <v>1.6519857467683936E-2</v>
      </c>
      <c r="H36" s="15">
        <f t="shared" si="6"/>
        <v>1.0027008233752333E-3</v>
      </c>
    </row>
    <row r="37" spans="2:8" x14ac:dyDescent="0.2">
      <c r="B37" s="13">
        <f t="shared" si="1"/>
        <v>0.91666666666666674</v>
      </c>
      <c r="C37" s="14">
        <f t="shared" si="2"/>
        <v>0.02</v>
      </c>
      <c r="D37" s="14">
        <f t="shared" si="0"/>
        <v>1.2580424430009168E-3</v>
      </c>
      <c r="E37" s="14">
        <f t="shared" si="3"/>
        <v>2.5160848860018336E-3</v>
      </c>
      <c r="F37" s="15">
        <f t="shared" si="4"/>
        <v>0.98073780330513949</v>
      </c>
      <c r="G37" s="15">
        <f t="shared" si="5"/>
        <v>1.815388379576708E-2</v>
      </c>
      <c r="H37" s="15">
        <f t="shared" si="6"/>
        <v>1.1083128990934594E-3</v>
      </c>
    </row>
    <row r="38" spans="2:8" x14ac:dyDescent="0.2">
      <c r="B38" s="13">
        <f t="shared" si="1"/>
        <v>1</v>
      </c>
      <c r="C38" s="14">
        <f t="shared" si="2"/>
        <v>0.02</v>
      </c>
      <c r="D38" s="14">
        <f t="shared" si="0"/>
        <v>1.2682035761381841E-3</v>
      </c>
      <c r="E38" s="14">
        <f t="shared" si="3"/>
        <v>2.5364071522763682E-3</v>
      </c>
      <c r="F38" s="15">
        <f t="shared" si="4"/>
        <v>0.97900042281779642</v>
      </c>
      <c r="G38" s="15">
        <f t="shared" si="5"/>
        <v>1.9784640408555581E-2</v>
      </c>
      <c r="H38" s="15">
        <f t="shared" si="6"/>
        <v>1.2149367736479688E-3</v>
      </c>
    </row>
    <row r="39" spans="2:8" x14ac:dyDescent="0.2">
      <c r="B39" s="13">
        <f t="shared" si="1"/>
        <v>1.0833333333333333</v>
      </c>
      <c r="C39" s="14">
        <f t="shared" si="2"/>
        <v>0.02</v>
      </c>
      <c r="D39" s="14">
        <f t="shared" si="0"/>
        <v>1.2784641740202006E-3</v>
      </c>
      <c r="E39" s="14">
        <f t="shared" si="3"/>
        <v>2.5569283480404012E-3</v>
      </c>
      <c r="F39" s="15">
        <f t="shared" si="4"/>
        <v>0.97726529112666194</v>
      </c>
      <c r="G39" s="15">
        <f t="shared" si="5"/>
        <v>2.1412125954632117E-2</v>
      </c>
      <c r="H39" s="15">
        <f t="shared" si="6"/>
        <v>1.3225829187059521E-3</v>
      </c>
    </row>
    <row r="40" spans="2:8" x14ac:dyDescent="0.2">
      <c r="B40" s="13">
        <f t="shared" si="1"/>
        <v>1.1666666666666665</v>
      </c>
      <c r="C40" s="14">
        <f t="shared" si="2"/>
        <v>0.02</v>
      </c>
      <c r="D40" s="14">
        <f t="shared" si="0"/>
        <v>1.2888252102820248E-3</v>
      </c>
      <c r="E40" s="14">
        <f t="shared" si="3"/>
        <v>2.5776504205640496E-3</v>
      </c>
      <c r="F40" s="15">
        <f t="shared" si="4"/>
        <v>0.97553239908618261</v>
      </c>
      <c r="G40" s="15">
        <f t="shared" si="5"/>
        <v>2.3036339000522786E-2</v>
      </c>
      <c r="H40" s="15">
        <f t="shared" si="6"/>
        <v>1.4312619132946245E-3</v>
      </c>
    </row>
    <row r="41" spans="2:8" x14ac:dyDescent="0.2">
      <c r="B41" s="13">
        <f t="shared" si="1"/>
        <v>1.2499999999999998</v>
      </c>
      <c r="C41" s="14">
        <f t="shared" si="2"/>
        <v>0.02</v>
      </c>
      <c r="D41" s="14">
        <f t="shared" si="0"/>
        <v>1.299287668089381E-3</v>
      </c>
      <c r="E41" s="14">
        <f t="shared" si="3"/>
        <v>2.598575336178762E-3</v>
      </c>
      <c r="F41" s="15">
        <f t="shared" si="4"/>
        <v>0.97380173752525656</v>
      </c>
      <c r="G41" s="15">
        <f t="shared" si="5"/>
        <v>2.4657278029923679E-2</v>
      </c>
      <c r="H41" s="15">
        <f t="shared" si="6"/>
        <v>1.5409844448198021E-3</v>
      </c>
    </row>
    <row r="42" spans="2:8" x14ac:dyDescent="0.2">
      <c r="B42" s="13">
        <f t="shared" si="1"/>
        <v>1.333333333333333</v>
      </c>
      <c r="C42" s="14">
        <f t="shared" si="2"/>
        <v>0.02</v>
      </c>
      <c r="D42" s="14">
        <f t="shared" si="0"/>
        <v>1.3098525402319514E-3</v>
      </c>
      <c r="E42" s="14">
        <f t="shared" si="3"/>
        <v>2.6197050804639029E-3</v>
      </c>
      <c r="F42" s="15">
        <f t="shared" si="4"/>
        <v>0.97207329724698688</v>
      </c>
      <c r="G42" s="15">
        <f t="shared" si="5"/>
        <v>2.6274941442920287E-2</v>
      </c>
      <c r="H42" s="15">
        <f t="shared" si="6"/>
        <v>1.6517613100928388E-3</v>
      </c>
    </row>
    <row r="43" spans="2:8" x14ac:dyDescent="0.2">
      <c r="B43" s="13">
        <f t="shared" si="1"/>
        <v>1.4166666666666663</v>
      </c>
      <c r="C43" s="14">
        <f t="shared" si="2"/>
        <v>0.02</v>
      </c>
      <c r="D43" s="14">
        <f t="shared" si="0"/>
        <v>1.3205208292175819E-3</v>
      </c>
      <c r="E43" s="14">
        <f t="shared" si="3"/>
        <v>2.6410416584351638E-3</v>
      </c>
      <c r="F43" s="15">
        <f t="shared" si="4"/>
        <v>0.97034706902843437</v>
      </c>
      <c r="G43" s="15">
        <f t="shared" si="5"/>
        <v>2.788932755519969E-2</v>
      </c>
      <c r="H43" s="15">
        <f t="shared" si="6"/>
        <v>1.7636034163659659E-3</v>
      </c>
    </row>
    <row r="44" spans="2:8" x14ac:dyDescent="0.2">
      <c r="B44" s="13">
        <f t="shared" si="1"/>
        <v>1.4999999999999996</v>
      </c>
      <c r="C44" s="14">
        <f t="shared" si="2"/>
        <v>0.02</v>
      </c>
      <c r="D44" s="14">
        <f t="shared" si="0"/>
        <v>1.3312935473674163E-3</v>
      </c>
      <c r="E44" s="14">
        <f t="shared" si="3"/>
        <v>2.6625870947348325E-3</v>
      </c>
      <c r="F44" s="15">
        <f t="shared" si="4"/>
        <v>0.96862304362036844</v>
      </c>
      <c r="G44" s="15">
        <f t="shared" si="5"/>
        <v>2.9500434597255494E-2</v>
      </c>
      <c r="H44" s="15">
        <f t="shared" si="6"/>
        <v>1.8765217823760747E-3</v>
      </c>
    </row>
    <row r="45" spans="2:8" x14ac:dyDescent="0.2">
      <c r="B45" s="13">
        <f t="shared" si="1"/>
        <v>1.5833333333333328</v>
      </c>
      <c r="C45" s="14">
        <f t="shared" si="2"/>
        <v>0.02</v>
      </c>
      <c r="D45" s="14">
        <f t="shared" si="0"/>
        <v>1.3421717169119505E-3</v>
      </c>
      <c r="E45" s="14">
        <f t="shared" si="3"/>
        <v>2.6843434338239009E-3</v>
      </c>
      <c r="F45" s="15">
        <f t="shared" si="4"/>
        <v>0.9669012117470176</v>
      </c>
      <c r="G45" s="15">
        <f t="shared" si="5"/>
        <v>3.1108260713585464E-2</v>
      </c>
      <c r="H45" s="15">
        <f t="shared" si="6"/>
        <v>1.9905275393969834E-3</v>
      </c>
    </row>
    <row r="46" spans="2:8" x14ac:dyDescent="0.2">
      <c r="B46" s="13">
        <f t="shared" si="1"/>
        <v>1.6666666666666661</v>
      </c>
      <c r="C46" s="14">
        <f t="shared" si="2"/>
        <v>0.02</v>
      </c>
      <c r="D46" s="14">
        <f t="shared" si="0"/>
        <v>1.3531563700880306E-3</v>
      </c>
      <c r="E46" s="14">
        <f t="shared" si="3"/>
        <v>2.7063127401760613E-3</v>
      </c>
      <c r="F46" s="15">
        <f t="shared" si="4"/>
        <v>0.96518156410581801</v>
      </c>
      <c r="G46" s="15">
        <f t="shared" si="5"/>
        <v>3.2712803961881809E-2</v>
      </c>
      <c r="H46" s="15">
        <f t="shared" si="6"/>
        <v>2.1056319323002281E-3</v>
      </c>
    </row>
    <row r="47" spans="2:8" x14ac:dyDescent="0.2">
      <c r="B47" s="13">
        <f t="shared" si="1"/>
        <v>1.7499999999999993</v>
      </c>
      <c r="C47" s="14">
        <f t="shared" si="2"/>
        <v>0.02</v>
      </c>
      <c r="D47" s="14">
        <f t="shared" si="0"/>
        <v>1.3642485492368129E-3</v>
      </c>
      <c r="E47" s="14">
        <f t="shared" si="3"/>
        <v>2.7284970984736258E-3</v>
      </c>
      <c r="F47" s="15">
        <f t="shared" si="4"/>
        <v>0.96346409136716149</v>
      </c>
      <c r="G47" s="15">
        <f t="shared" si="5"/>
        <v>3.4314062312214094E-2</v>
      </c>
      <c r="H47" s="15">
        <f t="shared" si="6"/>
        <v>2.2218463206244146E-3</v>
      </c>
    </row>
    <row r="48" spans="2:8" x14ac:dyDescent="0.2">
      <c r="B48" s="13">
        <f t="shared" si="1"/>
        <v>1.8333333333333326</v>
      </c>
      <c r="C48" s="14">
        <f t="shared" si="2"/>
        <v>0.02</v>
      </c>
      <c r="D48" s="14">
        <f t="shared" si="0"/>
        <v>1.3754493069026619E-3</v>
      </c>
      <c r="E48" s="14">
        <f t="shared" si="3"/>
        <v>2.7508986138053237E-3</v>
      </c>
      <c r="F48" s="15">
        <f t="shared" si="4"/>
        <v>0.96174878417414211</v>
      </c>
      <c r="G48" s="15">
        <f t="shared" si="5"/>
        <v>3.5912033646204718E-2</v>
      </c>
      <c r="H48" s="15">
        <f t="shared" si="6"/>
        <v>2.3391821796531756E-3</v>
      </c>
    </row>
    <row r="49" spans="2:8" x14ac:dyDescent="0.2">
      <c r="B49" s="13">
        <f t="shared" si="1"/>
        <v>1.9166666666666659</v>
      </c>
      <c r="C49" s="14">
        <f t="shared" si="2"/>
        <v>0.02</v>
      </c>
      <c r="D49" s="14">
        <f t="shared" si="0"/>
        <v>1.3867597059330303E-3</v>
      </c>
      <c r="E49" s="14">
        <f t="shared" si="3"/>
        <v>2.7735194118660607E-3</v>
      </c>
      <c r="F49" s="15">
        <f t="shared" si="4"/>
        <v>0.96003563314230134</v>
      </c>
      <c r="G49" s="15">
        <f t="shared" si="5"/>
        <v>3.7506715756196934E-2</v>
      </c>
      <c r="H49" s="15">
        <f t="shared" si="6"/>
        <v>2.4576511015017653E-3</v>
      </c>
    </row>
    <row r="50" spans="2:8" x14ac:dyDescent="0.2">
      <c r="B50" s="13">
        <f t="shared" si="1"/>
        <v>1.9999999999999991</v>
      </c>
      <c r="C50" s="14">
        <f t="shared" si="2"/>
        <v>0.02</v>
      </c>
      <c r="D50" s="14">
        <f t="shared" si="0"/>
        <v>1.3981808195793189E-3</v>
      </c>
      <c r="E50" s="14">
        <f t="shared" si="3"/>
        <v>2.7963616391586377E-3</v>
      </c>
      <c r="F50" s="15">
        <f t="shared" si="4"/>
        <v>0.95832462885937242</v>
      </c>
      <c r="G50" s="15">
        <f t="shared" si="5"/>
        <v>3.9098106344415337E-2</v>
      </c>
      <c r="H50" s="15">
        <f t="shared" si="6"/>
        <v>2.5772647962123323E-3</v>
      </c>
    </row>
    <row r="51" spans="2:8" x14ac:dyDescent="0.2">
      <c r="B51" s="13">
        <f t="shared" si="1"/>
        <v>2.0833333333333326</v>
      </c>
      <c r="C51" s="14">
        <f t="shared" si="2"/>
        <v>0.02</v>
      </c>
      <c r="D51" s="14">
        <f t="shared" si="0"/>
        <v>1.4097137315987056E-3</v>
      </c>
      <c r="E51" s="14">
        <f t="shared" si="3"/>
        <v>2.8194274631974112E-3</v>
      </c>
      <c r="F51" s="15">
        <f t="shared" si="4"/>
        <v>0.95661576188502329</v>
      </c>
      <c r="G51" s="15">
        <f t="shared" si="5"/>
        <v>4.0686203022118853E-2</v>
      </c>
      <c r="H51" s="15">
        <f t="shared" si="6"/>
        <v>2.6980350928579081E-3</v>
      </c>
    </row>
    <row r="52" spans="2:8" x14ac:dyDescent="0.2">
      <c r="B52" s="13">
        <f t="shared" si="1"/>
        <v>2.1666666666666661</v>
      </c>
      <c r="C52" s="14">
        <f t="shared" si="2"/>
        <v>0.02</v>
      </c>
      <c r="D52" s="14">
        <f t="shared" si="0"/>
        <v>1.4213595363569958E-3</v>
      </c>
      <c r="E52" s="14">
        <f t="shared" si="3"/>
        <v>2.8427190727139916E-3</v>
      </c>
      <c r="F52" s="15">
        <f t="shared" si="4"/>
        <v>0.95490902275059886</v>
      </c>
      <c r="G52" s="15">
        <f t="shared" si="5"/>
        <v>4.2271003308746079E-2</v>
      </c>
      <c r="H52" s="15">
        <f t="shared" si="6"/>
        <v>2.8199739406551466E-3</v>
      </c>
    </row>
    <row r="53" spans="2:8" x14ac:dyDescent="0.2">
      <c r="B53" s="13">
        <f t="shared" si="1"/>
        <v>2.2499999999999996</v>
      </c>
      <c r="C53" s="14">
        <f t="shared" si="2"/>
        <v>0.02</v>
      </c>
      <c r="D53" s="14">
        <f t="shared" si="0"/>
        <v>1.4331193389324644E-3</v>
      </c>
      <c r="E53" s="14">
        <f t="shared" si="3"/>
        <v>2.8662386778649288E-3</v>
      </c>
      <c r="F53" s="15">
        <f t="shared" si="4"/>
        <v>0.95320440195886125</v>
      </c>
      <c r="G53" s="15">
        <f t="shared" si="5"/>
        <v>4.385250463105303E-2</v>
      </c>
      <c r="H53" s="15">
        <f t="shared" si="6"/>
        <v>2.9430934100858493E-3</v>
      </c>
    </row>
    <row r="54" spans="2:8" x14ac:dyDescent="0.2">
      <c r="B54" s="13">
        <f t="shared" si="1"/>
        <v>2.333333333333333</v>
      </c>
      <c r="C54" s="14">
        <f t="shared" si="2"/>
        <v>0.02</v>
      </c>
      <c r="D54" s="14">
        <f t="shared" si="0"/>
        <v>1.4449942552207133E-3</v>
      </c>
      <c r="E54" s="14">
        <f t="shared" si="3"/>
        <v>2.8899885104414266E-3</v>
      </c>
      <c r="F54" s="15">
        <f t="shared" si="4"/>
        <v>0.95150188998372953</v>
      </c>
      <c r="G54" s="15">
        <f t="shared" si="5"/>
        <v>4.5430704322243234E-2</v>
      </c>
      <c r="H54" s="15">
        <f t="shared" si="6"/>
        <v>3.0674056940273135E-3</v>
      </c>
    </row>
    <row r="55" spans="2:8" x14ac:dyDescent="0.2">
      <c r="B55" s="13">
        <f t="shared" si="1"/>
        <v>2.4166666666666665</v>
      </c>
      <c r="C55" s="14">
        <f t="shared" si="2"/>
        <v>0.02</v>
      </c>
      <c r="D55" s="14">
        <f t="shared" si="0"/>
        <v>1.4569854120405621E-3</v>
      </c>
      <c r="E55" s="14">
        <f t="shared" si="3"/>
        <v>2.9139708240811242E-3</v>
      </c>
      <c r="F55" s="15">
        <f t="shared" si="4"/>
        <v>0.94980147727001851</v>
      </c>
      <c r="G55" s="15">
        <f t="shared" si="5"/>
        <v>4.700559962109007E-2</v>
      </c>
      <c r="H55" s="15">
        <f t="shared" si="6"/>
        <v>3.1929231088915371E-3</v>
      </c>
    </row>
    <row r="56" spans="2:8" x14ac:dyDescent="0.2">
      <c r="B56" s="13">
        <f t="shared" si="1"/>
        <v>2.5</v>
      </c>
      <c r="C56" s="14">
        <f t="shared" si="2"/>
        <v>0.02</v>
      </c>
      <c r="D56" s="14">
        <f t="shared" si="0"/>
        <v>1.4690939472409761E-3</v>
      </c>
      <c r="E56" s="14">
        <f t="shared" si="3"/>
        <v>2.9381878944819521E-3</v>
      </c>
      <c r="F56" s="15">
        <f t="shared" si="4"/>
        <v>0.94810315423317537</v>
      </c>
      <c r="G56" s="15">
        <f t="shared" si="5"/>
        <v>4.857718767105141E-2</v>
      </c>
      <c r="H56" s="15">
        <f t="shared" si="6"/>
        <v>3.3196580957733112E-3</v>
      </c>
    </row>
    <row r="57" spans="2:8" x14ac:dyDescent="0.2">
      <c r="B57" s="13">
        <f t="shared" si="1"/>
        <v>2.5833333333333335</v>
      </c>
      <c r="C57" s="14">
        <f t="shared" si="2"/>
        <v>0.02</v>
      </c>
      <c r="D57" s="14">
        <f t="shared" si="0"/>
        <v>1.4813210098090323E-3</v>
      </c>
      <c r="E57" s="14">
        <f t="shared" si="3"/>
        <v>2.9626420196180647E-3</v>
      </c>
      <c r="F57" s="15">
        <f t="shared" si="4"/>
        <v>0.94640691125901644</v>
      </c>
      <c r="G57" s="15">
        <f t="shared" si="5"/>
        <v>5.0145465519376445E-2</v>
      </c>
      <c r="H57" s="15">
        <f t="shared" si="6"/>
        <v>3.447623221607236E-3</v>
      </c>
    </row>
    <row r="58" spans="2:8" x14ac:dyDescent="0.2">
      <c r="B58" s="13">
        <f t="shared" si="1"/>
        <v>2.666666666666667</v>
      </c>
      <c r="C58" s="14">
        <f t="shared" si="2"/>
        <v>0.02</v>
      </c>
      <c r="D58" s="14">
        <f t="shared" ref="D58:D86" si="7">A+B*(cc^(50+B58))</f>
        <v>1.4936677599789465E-3</v>
      </c>
      <c r="E58" s="14">
        <f t="shared" si="3"/>
        <v>2.987335519957893E-3</v>
      </c>
      <c r="F58" s="15">
        <f t="shared" si="4"/>
        <v>0.94471273870346173</v>
      </c>
      <c r="G58" s="15">
        <f t="shared" si="5"/>
        <v>5.1710430116204721E-2</v>
      </c>
      <c r="H58" s="15">
        <f t="shared" si="6"/>
        <v>3.5768311803336915E-3</v>
      </c>
    </row>
    <row r="59" spans="2:8" x14ac:dyDescent="0.2">
      <c r="B59" s="13">
        <f t="shared" ref="B59:B86" si="8">B58+h</f>
        <v>2.7500000000000004</v>
      </c>
      <c r="C59" s="14">
        <f t="shared" si="2"/>
        <v>0.02</v>
      </c>
      <c r="D59" s="14">
        <f t="shared" si="7"/>
        <v>1.5061353693421777E-3</v>
      </c>
      <c r="E59" s="14">
        <f t="shared" si="3"/>
        <v>3.0122707386843555E-3</v>
      </c>
      <c r="F59" s="15">
        <f t="shared" ref="F59:F86" si="9">F58-h*(F58*C58+F58*D58)</f>
        <v>0.94302062689226906</v>
      </c>
      <c r="G59" s="15">
        <f t="shared" ref="G59:G86" si="10">G58+h*(F58*C58-G58*E58)</f>
        <v>5.3272078313657288E-2</v>
      </c>
      <c r="H59" s="15">
        <f t="shared" ref="H59:H86" si="11">H58+h*(F58*D58+G58*E58)</f>
        <v>3.7072947940737927E-3</v>
      </c>
    </row>
    <row r="60" spans="2:8" x14ac:dyDescent="0.2">
      <c r="B60" s="13">
        <f t="shared" si="8"/>
        <v>2.8333333333333339</v>
      </c>
      <c r="C60" s="14">
        <f t="shared" si="2"/>
        <v>0.02</v>
      </c>
      <c r="D60" s="14">
        <f t="shared" si="7"/>
        <v>1.5187250209585921E-3</v>
      </c>
      <c r="E60" s="14">
        <f t="shared" si="3"/>
        <v>3.0374500419171843E-3</v>
      </c>
      <c r="F60" s="15">
        <f t="shared" si="9"/>
        <v>0.94133056612076682</v>
      </c>
      <c r="G60" s="15">
        <f t="shared" si="10"/>
        <v>5.4830406864919974E-2</v>
      </c>
      <c r="H60" s="15">
        <f t="shared" si="11"/>
        <v>3.8390270143133605E-3</v>
      </c>
    </row>
    <row r="61" spans="2:8" x14ac:dyDescent="0.2">
      <c r="B61" s="13">
        <f t="shared" si="8"/>
        <v>2.9166666666666674</v>
      </c>
      <c r="C61" s="14">
        <f t="shared" si="2"/>
        <v>0.02</v>
      </c>
      <c r="D61" s="14">
        <f t="shared" si="7"/>
        <v>1.5314379094687263E-3</v>
      </c>
      <c r="E61" s="14">
        <f t="shared" si="3"/>
        <v>3.0628758189374526E-3</v>
      </c>
      <c r="F61" s="15">
        <f t="shared" si="9"/>
        <v>0.93964254665358549</v>
      </c>
      <c r="G61" s="15">
        <f t="shared" si="10"/>
        <v>5.6385412423318737E-2</v>
      </c>
      <c r="H61" s="15">
        <f t="shared" si="11"/>
        <v>3.9720409230959361E-3</v>
      </c>
    </row>
    <row r="62" spans="2:8" x14ac:dyDescent="0.2">
      <c r="B62" s="13">
        <f t="shared" si="8"/>
        <v>3.0000000000000009</v>
      </c>
      <c r="C62" s="14">
        <f t="shared" si="2"/>
        <v>0.02</v>
      </c>
      <c r="D62" s="14">
        <f t="shared" si="7"/>
        <v>1.5442752412071548E-3</v>
      </c>
      <c r="E62" s="14">
        <f t="shared" si="3"/>
        <v>3.0885504824143097E-3</v>
      </c>
      <c r="F62" s="15">
        <f t="shared" si="9"/>
        <v>0.93795655872438821</v>
      </c>
      <c r="G62" s="15">
        <f t="shared" si="10"/>
        <v>5.7937091541387029E-2</v>
      </c>
      <c r="H62" s="15">
        <f t="shared" si="11"/>
        <v>4.1063497342248723E-3</v>
      </c>
    </row>
    <row r="63" spans="2:8" x14ac:dyDescent="0.2">
      <c r="B63" s="13">
        <f t="shared" si="8"/>
        <v>3.0833333333333344</v>
      </c>
      <c r="C63" s="14">
        <f t="shared" si="2"/>
        <v>0.02</v>
      </c>
      <c r="D63" s="14">
        <f t="shared" si="7"/>
        <v>1.5572382343169453E-3</v>
      </c>
      <c r="E63" s="14">
        <f t="shared" si="3"/>
        <v>3.1144764686338905E-3</v>
      </c>
      <c r="F63" s="15">
        <f t="shared" si="9"/>
        <v>0.93627259253560036</v>
      </c>
      <c r="G63" s="15">
        <f t="shared" si="10"/>
        <v>5.9485440669925192E-2</v>
      </c>
      <c r="H63" s="15">
        <f t="shared" si="11"/>
        <v>4.2419667944745198E-3</v>
      </c>
    </row>
    <row r="64" spans="2:8" x14ac:dyDescent="0.2">
      <c r="B64" s="13">
        <f t="shared" si="8"/>
        <v>3.1666666666666679</v>
      </c>
      <c r="C64" s="14">
        <f t="shared" si="2"/>
        <v>0.02</v>
      </c>
      <c r="D64" s="14">
        <f t="shared" si="7"/>
        <v>1.5703281188652646E-3</v>
      </c>
      <c r="E64" s="14">
        <f t="shared" si="3"/>
        <v>3.1406562377305292E-3</v>
      </c>
      <c r="F64" s="15">
        <f t="shared" si="9"/>
        <v>0.93459063825813771</v>
      </c>
      <c r="G64" s="15">
        <f t="shared" si="10"/>
        <v>6.1030456157051792E-2</v>
      </c>
      <c r="H64" s="15">
        <f t="shared" si="11"/>
        <v>4.3789055848105435E-3</v>
      </c>
    </row>
    <row r="65" spans="2:8" x14ac:dyDescent="0.2">
      <c r="B65" s="13">
        <f t="shared" si="8"/>
        <v>3.2500000000000013</v>
      </c>
      <c r="C65" s="14">
        <f t="shared" si="2"/>
        <v>0.02</v>
      </c>
      <c r="D65" s="14">
        <f t="shared" si="7"/>
        <v>1.5835461369600901E-3</v>
      </c>
      <c r="E65" s="14">
        <f t="shared" si="3"/>
        <v>3.1670922739201802E-3</v>
      </c>
      <c r="F65" s="15">
        <f t="shared" si="9"/>
        <v>0.9329106860311337</v>
      </c>
      <c r="G65" s="15">
        <f t="shared" si="10"/>
        <v>6.2572134247246919E-2</v>
      </c>
      <c r="H65" s="15">
        <f t="shared" si="11"/>
        <v>4.5171797216193915E-3</v>
      </c>
    </row>
    <row r="66" spans="2:8" x14ac:dyDescent="0.2">
      <c r="B66" s="13">
        <f t="shared" si="8"/>
        <v>3.3333333333333348</v>
      </c>
      <c r="C66" s="14">
        <f t="shared" si="2"/>
        <v>0.02</v>
      </c>
      <c r="D66" s="14">
        <f t="shared" si="7"/>
        <v>1.5968935428680819E-3</v>
      </c>
      <c r="E66" s="14">
        <f t="shared" si="3"/>
        <v>3.1937870857361638E-3</v>
      </c>
      <c r="F66" s="15">
        <f t="shared" si="9"/>
        <v>0.93123272596166573</v>
      </c>
      <c r="G66" s="15">
        <f t="shared" si="10"/>
        <v>6.411047108038738E-2</v>
      </c>
      <c r="H66" s="15">
        <f t="shared" si="11"/>
        <v>4.6568029579469369E-3</v>
      </c>
    </row>
    <row r="67" spans="2:8" x14ac:dyDescent="0.2">
      <c r="B67" s="13">
        <f t="shared" si="8"/>
        <v>3.4166666666666683</v>
      </c>
      <c r="C67" s="14">
        <f t="shared" si="2"/>
        <v>0.02</v>
      </c>
      <c r="D67" s="14">
        <f t="shared" si="7"/>
        <v>1.6103716031335932E-3</v>
      </c>
      <c r="E67" s="14">
        <f t="shared" si="3"/>
        <v>3.2207432062671864E-3</v>
      </c>
      <c r="F67" s="15">
        <f t="shared" si="9"/>
        <v>0.92955674812447997</v>
      </c>
      <c r="G67" s="15">
        <f t="shared" si="10"/>
        <v>6.5645462690773745E-2</v>
      </c>
      <c r="H67" s="15">
        <f t="shared" si="11"/>
        <v>4.7977891847463226E-3</v>
      </c>
    </row>
    <row r="68" spans="2:8" x14ac:dyDescent="0.2">
      <c r="B68" s="13">
        <f t="shared" si="8"/>
        <v>3.5000000000000018</v>
      </c>
      <c r="C68" s="14">
        <f t="shared" si="2"/>
        <v>0.02</v>
      </c>
      <c r="D68" s="14">
        <f t="shared" si="7"/>
        <v>1.6239815966988585E-3</v>
      </c>
      <c r="E68" s="14">
        <f t="shared" si="3"/>
        <v>3.2479631933977171E-3</v>
      </c>
      <c r="F68" s="15">
        <f t="shared" si="9"/>
        <v>0.92788274256171577</v>
      </c>
      <c r="G68" s="15">
        <f t="shared" si="10"/>
        <v>6.7177105006149249E-2</v>
      </c>
      <c r="H68" s="15">
        <f t="shared" si="11"/>
        <v>4.9401524321350263E-3</v>
      </c>
    </row>
    <row r="69" spans="2:8" x14ac:dyDescent="0.2">
      <c r="B69" s="13">
        <f t="shared" si="8"/>
        <v>3.5833333333333353</v>
      </c>
      <c r="C69" s="14">
        <f t="shared" si="2"/>
        <v>0.02</v>
      </c>
      <c r="D69" s="14">
        <f t="shared" si="7"/>
        <v>1.6377248150253525E-3</v>
      </c>
      <c r="E69" s="14">
        <f t="shared" si="3"/>
        <v>3.2754496300507049E-3</v>
      </c>
      <c r="F69" s="15">
        <f t="shared" si="9"/>
        <v>0.92621069928262834</v>
      </c>
      <c r="G69" s="15">
        <f t="shared" si="10"/>
        <v>6.8705393846710525E-2</v>
      </c>
      <c r="H69" s="15">
        <f t="shared" si="11"/>
        <v>5.0839068706611664E-3</v>
      </c>
    </row>
    <row r="70" spans="2:8" x14ac:dyDescent="0.2">
      <c r="B70" s="13">
        <f t="shared" si="8"/>
        <v>3.6666666666666687</v>
      </c>
      <c r="C70" s="14">
        <f t="shared" si="2"/>
        <v>0.02</v>
      </c>
      <c r="D70" s="14">
        <f t="shared" si="7"/>
        <v>1.6516025622163371E-3</v>
      </c>
      <c r="E70" s="14">
        <f t="shared" si="3"/>
        <v>3.3032051244326743E-3</v>
      </c>
      <c r="F70" s="15">
        <f t="shared" si="9"/>
        <v>0.92454060826331086</v>
      </c>
      <c r="G70" s="15">
        <f t="shared" si="10"/>
        <v>7.0230324924110091E-2</v>
      </c>
      <c r="H70" s="15">
        <f t="shared" si="11"/>
        <v>5.2290668125790701E-3</v>
      </c>
    </row>
    <row r="71" spans="2:8" x14ac:dyDescent="0.2">
      <c r="B71" s="13">
        <f t="shared" si="8"/>
        <v>3.7500000000000022</v>
      </c>
      <c r="C71" s="14">
        <f t="shared" si="2"/>
        <v>0.02</v>
      </c>
      <c r="D71" s="14">
        <f t="shared" si="7"/>
        <v>1.665616155140608E-3</v>
      </c>
      <c r="E71" s="14">
        <f t="shared" si="3"/>
        <v>3.331232310281216E-3</v>
      </c>
      <c r="F71" s="15">
        <f t="shared" si="9"/>
        <v>0.92287245944641527</v>
      </c>
      <c r="G71" s="15">
        <f t="shared" si="10"/>
        <v>7.1751893840450623E-2</v>
      </c>
      <c r="H71" s="15">
        <f t="shared" si="11"/>
        <v>5.3756467131341225E-3</v>
      </c>
    </row>
    <row r="72" spans="2:8" x14ac:dyDescent="0.2">
      <c r="B72" s="13">
        <f t="shared" si="8"/>
        <v>3.8333333333333357</v>
      </c>
      <c r="C72" s="14">
        <f t="shared" si="2"/>
        <v>0.02</v>
      </c>
      <c r="D72" s="14">
        <f t="shared" si="7"/>
        <v>1.6797669235574576E-3</v>
      </c>
      <c r="E72" s="14">
        <f t="shared" si="3"/>
        <v>3.3595338471149152E-3</v>
      </c>
      <c r="F72" s="15">
        <f t="shared" si="9"/>
        <v>0.92120624274087226</v>
      </c>
      <c r="G72" s="15">
        <f t="shared" si="10"/>
        <v>7.3270096087270878E-2</v>
      </c>
      <c r="H72" s="15">
        <f t="shared" si="11"/>
        <v>5.5236611718569115E-3</v>
      </c>
    </row>
    <row r="73" spans="2:8" x14ac:dyDescent="0.2">
      <c r="B73" s="13">
        <f t="shared" si="8"/>
        <v>3.9166666666666692</v>
      </c>
      <c r="C73" s="14">
        <f t="shared" si="2"/>
        <v>0.02</v>
      </c>
      <c r="D73" s="14">
        <f t="shared" si="7"/>
        <v>1.6940562102428498E-3</v>
      </c>
      <c r="E73" s="14">
        <f t="shared" si="3"/>
        <v>3.3881124204856996E-3</v>
      </c>
      <c r="F73" s="15">
        <f t="shared" si="9"/>
        <v>0.91954194802160993</v>
      </c>
      <c r="G73" s="15">
        <f t="shared" si="10"/>
        <v>7.4784927044523455E-2</v>
      </c>
      <c r="H73" s="15">
        <f t="shared" si="11"/>
        <v>5.673124933866687E-3</v>
      </c>
    </row>
    <row r="74" spans="2:8" x14ac:dyDescent="0.2">
      <c r="B74" s="13">
        <f t="shared" si="8"/>
        <v>4.0000000000000027</v>
      </c>
      <c r="C74" s="14">
        <f t="shared" si="2"/>
        <v>0.02</v>
      </c>
      <c r="D74" s="14">
        <f t="shared" si="7"/>
        <v>1.7084853711168419E-3</v>
      </c>
      <c r="E74" s="14">
        <f t="shared" si="3"/>
        <v>3.4169707422336839E-3</v>
      </c>
      <c r="F74" s="15">
        <f t="shared" si="9"/>
        <v>0.91787956512927182</v>
      </c>
      <c r="G74" s="15">
        <f t="shared" si="10"/>
        <v>7.6296381979544081E-2</v>
      </c>
      <c r="H74" s="15">
        <f t="shared" si="11"/>
        <v>5.8240528911841435E-3</v>
      </c>
    </row>
    <row r="75" spans="2:8" x14ac:dyDescent="0.2">
      <c r="B75" s="13">
        <f t="shared" si="8"/>
        <v>4.0833333333333357</v>
      </c>
      <c r="C75" s="14">
        <f t="shared" si="2"/>
        <v>0.02</v>
      </c>
      <c r="D75" s="14">
        <f t="shared" si="7"/>
        <v>1.7230557753722465E-3</v>
      </c>
      <c r="E75" s="14">
        <f t="shared" si="3"/>
        <v>3.4461115507444929E-3</v>
      </c>
      <c r="F75" s="15">
        <f t="shared" si="9"/>
        <v>0.91621908386993378</v>
      </c>
      <c r="G75" s="15">
        <f t="shared" si="10"/>
        <v>7.7804456046012674E-2</v>
      </c>
      <c r="H75" s="15">
        <f t="shared" si="11"/>
        <v>5.9764600840535465E-3</v>
      </c>
    </row>
    <row r="76" spans="2:8" x14ac:dyDescent="0.2">
      <c r="B76" s="13">
        <f t="shared" si="8"/>
        <v>4.1666666666666687</v>
      </c>
      <c r="C76" s="14">
        <f t="shared" si="2"/>
        <v>0.02</v>
      </c>
      <c r="D76" s="14">
        <f t="shared" si="7"/>
        <v>1.7377688056045575E-3</v>
      </c>
      <c r="E76" s="14">
        <f t="shared" si="3"/>
        <v>3.4755376112091149E-3</v>
      </c>
      <c r="F76" s="15">
        <f t="shared" si="9"/>
        <v>0.91456049401481987</v>
      </c>
      <c r="G76" s="15">
        <f t="shared" si="10"/>
        <v>7.9309144282905933E-2</v>
      </c>
      <c r="H76" s="15">
        <f t="shared" si="11"/>
        <v>6.1303617022742058E-3</v>
      </c>
    </row>
    <row r="77" spans="2:8" x14ac:dyDescent="0.2">
      <c r="B77" s="13">
        <f t="shared" si="8"/>
        <v>4.2500000000000018</v>
      </c>
      <c r="C77" s="14">
        <f t="shared" si="2"/>
        <v>0.02</v>
      </c>
      <c r="D77" s="14">
        <f t="shared" si="7"/>
        <v>1.7526258579431413E-3</v>
      </c>
      <c r="E77" s="14">
        <f t="shared" si="3"/>
        <v>3.5052517158862826E-3</v>
      </c>
      <c r="F77" s="15">
        <f t="shared" si="9"/>
        <v>0.91290378530001703</v>
      </c>
      <c r="G77" s="15">
        <f t="shared" si="10"/>
        <v>8.0810441613441628E-2</v>
      </c>
      <c r="H77" s="15">
        <f t="shared" si="11"/>
        <v>6.2857730865413138E-3</v>
      </c>
    </row>
    <row r="78" spans="2:8" x14ac:dyDescent="0.2">
      <c r="B78" s="13">
        <f t="shared" si="8"/>
        <v>4.3333333333333348</v>
      </c>
      <c r="C78" s="14">
        <f t="shared" si="2"/>
        <v>0.02</v>
      </c>
      <c r="D78" s="14">
        <f t="shared" si="7"/>
        <v>1.7676283421837241E-3</v>
      </c>
      <c r="E78" s="14">
        <f t="shared" si="3"/>
        <v>3.5352566843674482E-3</v>
      </c>
      <c r="F78" s="15">
        <f t="shared" si="9"/>
        <v>0.91124894742618945</v>
      </c>
      <c r="G78" s="15">
        <f t="shared" si="10"/>
        <v>8.2308342844014407E-2</v>
      </c>
      <c r="H78" s="15">
        <f t="shared" si="11"/>
        <v>6.4427097297961493E-3</v>
      </c>
    </row>
    <row r="79" spans="2:8" x14ac:dyDescent="0.2">
      <c r="B79" s="13">
        <f t="shared" si="8"/>
        <v>4.4166666666666679</v>
      </c>
      <c r="C79" s="14">
        <f t="shared" si="2"/>
        <v>0.02</v>
      </c>
      <c r="D79" s="14">
        <f t="shared" si="7"/>
        <v>1.7827776819221586E-3</v>
      </c>
      <c r="E79" s="14">
        <f t="shared" si="3"/>
        <v>3.5655553638443173E-3</v>
      </c>
      <c r="F79" s="15">
        <f t="shared" si="9"/>
        <v>0.90959597005829118</v>
      </c>
      <c r="G79" s="15">
        <f t="shared" si="10"/>
        <v>8.3802842663123184E-2</v>
      </c>
      <c r="H79" s="15">
        <f t="shared" si="11"/>
        <v>6.6011872785856603E-3</v>
      </c>
    </row>
    <row r="80" spans="2:8" x14ac:dyDescent="0.2">
      <c r="B80" s="13">
        <f t="shared" si="8"/>
        <v>4.5000000000000009</v>
      </c>
      <c r="C80" s="14">
        <f t="shared" si="2"/>
        <v>0.02</v>
      </c>
      <c r="D80" s="14">
        <f t="shared" si="7"/>
        <v>1.798075314689517E-3</v>
      </c>
      <c r="E80" s="14">
        <f t="shared" si="3"/>
        <v>3.5961506293790339E-3</v>
      </c>
      <c r="F80" s="15">
        <f t="shared" si="9"/>
        <v>0.90794484282527854</v>
      </c>
      <c r="G80" s="15">
        <f t="shared" si="10"/>
        <v>8.52939356402901E-2</v>
      </c>
      <c r="H80" s="15">
        <f t="shared" si="11"/>
        <v>6.7612215344314231E-3</v>
      </c>
    </row>
    <row r="81" spans="1:10" x14ac:dyDescent="0.2">
      <c r="B81" s="13">
        <f t="shared" si="8"/>
        <v>4.5833333333333339</v>
      </c>
      <c r="C81" s="14">
        <f t="shared" si="2"/>
        <v>0.02</v>
      </c>
      <c r="D81" s="14">
        <f t="shared" si="7"/>
        <v>1.8135226920884965E-3</v>
      </c>
      <c r="E81" s="14">
        <f t="shared" si="3"/>
        <v>3.6270453841769929E-3</v>
      </c>
      <c r="F81" s="15">
        <f t="shared" si="9"/>
        <v>0.90629555531982109</v>
      </c>
      <c r="G81" s="15">
        <f t="shared" si="10"/>
        <v>8.6781616224970978E-2</v>
      </c>
      <c r="H81" s="15">
        <f t="shared" si="11"/>
        <v>6.9228284552079926E-3</v>
      </c>
    </row>
    <row r="82" spans="1:10" x14ac:dyDescent="0.2">
      <c r="B82" s="13">
        <f t="shared" si="8"/>
        <v>4.666666666666667</v>
      </c>
      <c r="C82" s="14">
        <f t="shared" si="2"/>
        <v>0.02</v>
      </c>
      <c r="D82" s="14">
        <f t="shared" si="7"/>
        <v>1.8291212799311615E-3</v>
      </c>
      <c r="E82" s="14">
        <f t="shared" si="3"/>
        <v>3.6582425598623231E-3</v>
      </c>
      <c r="F82" s="15">
        <f t="shared" si="9"/>
        <v>0.90464809709801208</v>
      </c>
      <c r="G82" s="15">
        <f t="shared" si="10"/>
        <v>8.8265878745457327E-2</v>
      </c>
      <c r="H82" s="15">
        <f t="shared" si="11"/>
        <v>7.0860241565306294E-3</v>
      </c>
    </row>
    <row r="83" spans="1:10" x14ac:dyDescent="0.2">
      <c r="B83" s="13">
        <f t="shared" si="8"/>
        <v>4.75</v>
      </c>
      <c r="C83" s="14">
        <f t="shared" si="2"/>
        <v>0.02</v>
      </c>
      <c r="D83" s="14">
        <f t="shared" si="7"/>
        <v>1.8448725583780435E-3</v>
      </c>
      <c r="E83" s="14">
        <f t="shared" si="3"/>
        <v>3.6897451167560869E-3</v>
      </c>
      <c r="F83" s="15">
        <f t="shared" si="9"/>
        <v>0.90300245767907783</v>
      </c>
      <c r="G83" s="15">
        <f t="shared" si="10"/>
        <v>8.9746717407769822E-2</v>
      </c>
      <c r="H83" s="15">
        <f t="shared" si="11"/>
        <v>7.2508249131524195E-3</v>
      </c>
    </row>
    <row r="84" spans="1:10" x14ac:dyDescent="0.2">
      <c r="B84" s="13">
        <f t="shared" si="8"/>
        <v>4.833333333333333</v>
      </c>
      <c r="C84" s="14">
        <f t="shared" si="2"/>
        <v>0.02</v>
      </c>
      <c r="D84" s="14">
        <f t="shared" si="7"/>
        <v>1.8607780220785822E-3</v>
      </c>
      <c r="E84" s="14">
        <f t="shared" si="3"/>
        <v>3.7215560441571645E-3</v>
      </c>
      <c r="F84" s="15">
        <f t="shared" si="9"/>
        <v>0.90135862654508603</v>
      </c>
      <c r="G84" s="15">
        <f t="shared" si="10"/>
        <v>9.1224126294543267E-2</v>
      </c>
      <c r="H84" s="15">
        <f t="shared" si="11"/>
        <v>7.4172471603707749E-3</v>
      </c>
    </row>
    <row r="85" spans="1:10" x14ac:dyDescent="0.2">
      <c r="B85" s="13">
        <f t="shared" si="8"/>
        <v>4.9166666666666661</v>
      </c>
      <c r="C85" s="14">
        <f t="shared" si="2"/>
        <v>0.02</v>
      </c>
      <c r="D85" s="14">
        <f t="shared" si="7"/>
        <v>1.8768391803129615E-3</v>
      </c>
      <c r="E85" s="14">
        <f t="shared" si="3"/>
        <v>3.7536783606259231E-3</v>
      </c>
      <c r="F85" s="15">
        <f t="shared" si="9"/>
        <v>0.89971659314065366</v>
      </c>
      <c r="G85" s="15">
        <f t="shared" si="10"/>
        <v>9.2698099363903039E-2</v>
      </c>
      <c r="H85" s="15">
        <f t="shared" si="11"/>
        <v>7.5853074954433117E-3</v>
      </c>
    </row>
    <row r="86" spans="1:10" ht="17" thickBot="1" x14ac:dyDescent="0.25">
      <c r="B86" s="16">
        <f t="shared" si="8"/>
        <v>4.9999999999999991</v>
      </c>
      <c r="C86" s="17">
        <f t="shared" si="2"/>
        <v>0.02</v>
      </c>
      <c r="D86" s="17">
        <f t="shared" si="7"/>
        <v>1.8930575571353306E-3</v>
      </c>
      <c r="E86" s="17">
        <f t="shared" si="3"/>
        <v>3.7861151142706611E-3</v>
      </c>
      <c r="F86" s="18">
        <f t="shared" si="9"/>
        <v>0.89807634687265392</v>
      </c>
      <c r="G86" s="18">
        <f t="shared" si="10"/>
        <v>9.4168630448333013E-2</v>
      </c>
      <c r="H86" s="18">
        <f t="shared" si="11"/>
        <v>7.7550226790131039E-3</v>
      </c>
    </row>
    <row r="89" spans="1:10" x14ac:dyDescent="0.2">
      <c r="A89" s="135" t="s">
        <v>18</v>
      </c>
      <c r="B89" s="135"/>
      <c r="C89" s="135"/>
      <c r="D89" s="135"/>
      <c r="E89" s="135"/>
      <c r="F89" s="135"/>
      <c r="G89" s="135"/>
      <c r="H89" s="135"/>
      <c r="I89" s="135"/>
      <c r="J89" s="135"/>
    </row>
    <row r="90" spans="1:10" x14ac:dyDescent="0.2">
      <c r="A90" s="135"/>
      <c r="B90" s="135"/>
      <c r="C90" s="135"/>
      <c r="D90" s="135"/>
      <c r="E90" s="135"/>
      <c r="F90" s="135"/>
      <c r="G90" s="135"/>
      <c r="H90" s="135"/>
      <c r="I90" s="135"/>
      <c r="J90" s="135"/>
    </row>
    <row r="91" spans="1:10" x14ac:dyDescent="0.2">
      <c r="A91" s="135"/>
      <c r="B91" s="135"/>
      <c r="C91" s="135"/>
      <c r="D91" s="135"/>
      <c r="E91" s="135"/>
      <c r="F91" s="135"/>
      <c r="G91" s="135"/>
      <c r="H91" s="135"/>
      <c r="I91" s="135"/>
      <c r="J91" s="135"/>
    </row>
    <row r="92" spans="1:10" x14ac:dyDescent="0.2">
      <c r="A92" s="19"/>
      <c r="B92" s="19" t="s">
        <v>81</v>
      </c>
      <c r="C92" s="19"/>
      <c r="D92" s="19"/>
      <c r="E92" s="19"/>
      <c r="F92" s="19"/>
      <c r="G92" s="19"/>
      <c r="H92" s="19"/>
      <c r="I92" s="19"/>
      <c r="J92" s="19"/>
    </row>
    <row r="93" spans="1:10" ht="18" x14ac:dyDescent="0.2">
      <c r="A93" s="19"/>
      <c r="B93" s="19" t="s">
        <v>60</v>
      </c>
      <c r="C93" s="19"/>
      <c r="D93" s="19"/>
      <c r="E93" s="19"/>
      <c r="F93" s="19"/>
      <c r="G93" s="19"/>
      <c r="H93" s="19"/>
      <c r="I93" s="19"/>
      <c r="J93" s="19"/>
    </row>
    <row r="94" spans="1:10" ht="17" thickBot="1" x14ac:dyDescent="0.25">
      <c r="A94" s="19"/>
      <c r="B94" s="19"/>
      <c r="C94" s="19"/>
      <c r="D94" s="19"/>
      <c r="E94" s="19"/>
      <c r="F94" s="19"/>
      <c r="G94" s="19"/>
      <c r="H94" s="19"/>
      <c r="I94" s="19"/>
      <c r="J94" s="19"/>
    </row>
    <row r="95" spans="1:10" ht="69" thickBot="1" x14ac:dyDescent="0.25">
      <c r="A95" s="19"/>
      <c r="B95" s="20" t="s">
        <v>61</v>
      </c>
      <c r="C95" s="21">
        <v>500</v>
      </c>
      <c r="D95" s="20" t="s">
        <v>62</v>
      </c>
      <c r="E95" s="21">
        <v>5</v>
      </c>
      <c r="F95" s="20" t="s">
        <v>63</v>
      </c>
      <c r="G95" s="21">
        <v>500000</v>
      </c>
      <c r="H95" s="20" t="s">
        <v>64</v>
      </c>
      <c r="I95" s="22">
        <v>0.06</v>
      </c>
      <c r="J95" s="19"/>
    </row>
    <row r="97" spans="1:9" x14ac:dyDescent="0.2">
      <c r="A97" s="6" t="s">
        <v>67</v>
      </c>
      <c r="B97" s="1"/>
      <c r="C97" s="1"/>
      <c r="D97" s="1"/>
      <c r="E97" s="1"/>
      <c r="F97" s="1"/>
    </row>
    <row r="98" spans="1:9" ht="17" thickBot="1" x14ac:dyDescent="0.25"/>
    <row r="99" spans="1:9" ht="52" thickBot="1" x14ac:dyDescent="0.25">
      <c r="A99" s="23" t="s">
        <v>17</v>
      </c>
      <c r="B99" s="24" t="s">
        <v>0</v>
      </c>
      <c r="C99" s="25"/>
      <c r="D99" s="26"/>
      <c r="E99" s="26"/>
      <c r="F99" s="27" t="s">
        <v>1</v>
      </c>
      <c r="G99" s="28" t="s">
        <v>3</v>
      </c>
      <c r="H99" s="29" t="s">
        <v>4</v>
      </c>
      <c r="I99" s="28" t="s">
        <v>2</v>
      </c>
    </row>
    <row r="100" spans="1:9" ht="17" thickBot="1" x14ac:dyDescent="0.25">
      <c r="B100" s="30">
        <f t="shared" ref="B100:B131" si="12">B26</f>
        <v>0</v>
      </c>
      <c r="C100" s="31">
        <f t="shared" ref="C100:C131" si="13">F26</f>
        <v>1</v>
      </c>
      <c r="D100" s="31">
        <f t="shared" ref="D100:D131" si="14">G26</f>
        <v>0</v>
      </c>
      <c r="E100" s="31">
        <f t="shared" ref="E100:E131" si="15">H26</f>
        <v>0</v>
      </c>
      <c r="F100" s="32">
        <f t="shared" ref="F100:F131" si="16">(1+I_12/12)^(-12*B100)</f>
        <v>1</v>
      </c>
      <c r="G100" s="33">
        <v>0</v>
      </c>
      <c r="H100" s="34">
        <f>Maint_exp+Iss_exp</f>
        <v>505</v>
      </c>
      <c r="I100" s="14">
        <f>C100*F100/12</f>
        <v>8.3333333333333329E-2</v>
      </c>
    </row>
    <row r="101" spans="1:9" ht="17" thickBot="1" x14ac:dyDescent="0.25">
      <c r="B101" s="30">
        <f t="shared" si="12"/>
        <v>8.3333333333333329E-2</v>
      </c>
      <c r="C101" s="31">
        <f t="shared" si="13"/>
        <v>0.99823728621173358</v>
      </c>
      <c r="D101" s="31">
        <f t="shared" si="14"/>
        <v>1.6666666666666666E-3</v>
      </c>
      <c r="E101" s="31">
        <f t="shared" si="15"/>
        <v>9.6047121599806054E-5</v>
      </c>
      <c r="F101" s="32">
        <f t="shared" si="16"/>
        <v>0.99502487562189068</v>
      </c>
      <c r="G101" s="33">
        <f t="shared" ref="G101:G132" si="17">DB*F101*(E101-E100)</f>
        <v>47.784637611843813</v>
      </c>
      <c r="H101" s="34">
        <f t="shared" ref="H101:H132" si="18">Maint_exp*F101*(1-E101)</f>
        <v>4.9746465317333346</v>
      </c>
      <c r="I101" s="14">
        <f t="shared" ref="I101:I159" si="19">C101*F101/12</f>
        <v>8.2772577629496982E-2</v>
      </c>
    </row>
    <row r="102" spans="1:9" ht="17" thickBot="1" x14ac:dyDescent="0.25">
      <c r="B102" s="30">
        <f t="shared" si="12"/>
        <v>0.16666666666666666</v>
      </c>
      <c r="C102" s="31">
        <f t="shared" si="13"/>
        <v>0.9964769202038154</v>
      </c>
      <c r="D102" s="31">
        <f t="shared" si="14"/>
        <v>3.3300727842126114E-3</v>
      </c>
      <c r="E102" s="31">
        <f t="shared" si="15"/>
        <v>1.9300701197204605E-4</v>
      </c>
      <c r="F102" s="32">
        <f t="shared" si="16"/>
        <v>0.99007450310635903</v>
      </c>
      <c r="G102" s="33">
        <f t="shared" si="17"/>
        <v>47.998757640771281</v>
      </c>
      <c r="H102" s="34">
        <f t="shared" si="18"/>
        <v>4.949417058924424</v>
      </c>
      <c r="I102" s="14">
        <f t="shared" si="19"/>
        <v>8.2215532635645627E-2</v>
      </c>
    </row>
    <row r="103" spans="1:9" ht="17" thickBot="1" x14ac:dyDescent="0.25">
      <c r="B103" s="30">
        <f t="shared" si="12"/>
        <v>0.25</v>
      </c>
      <c r="C103" s="31">
        <f t="shared" si="13"/>
        <v>0.99471889309580919</v>
      </c>
      <c r="D103" s="31">
        <f t="shared" si="14"/>
        <v>4.9902177807946042E-3</v>
      </c>
      <c r="E103" s="31">
        <f t="shared" si="15"/>
        <v>2.9088912339626522E-4</v>
      </c>
      <c r="F103" s="32">
        <f t="shared" si="16"/>
        <v>0.98514875930981005</v>
      </c>
      <c r="G103" s="33">
        <f t="shared" si="17"/>
        <v>48.214220314097048</v>
      </c>
      <c r="H103" s="34">
        <f t="shared" si="18"/>
        <v>4.9243109512539975</v>
      </c>
      <c r="I103" s="14">
        <f t="shared" si="19"/>
        <v>8.1662173616280337E-2</v>
      </c>
    </row>
    <row r="104" spans="1:9" ht="17" thickBot="1" x14ac:dyDescent="0.25">
      <c r="B104" s="30">
        <f t="shared" si="12"/>
        <v>0.33333333333333331</v>
      </c>
      <c r="C104" s="31">
        <f t="shared" si="13"/>
        <v>0.99296319598436111</v>
      </c>
      <c r="D104" s="31">
        <f t="shared" si="14"/>
        <v>6.6471010098622454E-3</v>
      </c>
      <c r="E104" s="31">
        <f t="shared" si="15"/>
        <v>3.8970300577675243E-4</v>
      </c>
      <c r="F104" s="32">
        <f t="shared" si="16"/>
        <v>0.9802475217013038</v>
      </c>
      <c r="G104" s="33">
        <f t="shared" si="17"/>
        <v>48.431031656578355</v>
      </c>
      <c r="H104" s="34">
        <f t="shared" si="18"/>
        <v>4.8993275814784578</v>
      </c>
      <c r="I104" s="14">
        <f t="shared" si="19"/>
        <v>8.1112476000356329E-2</v>
      </c>
    </row>
    <row r="105" spans="1:9" ht="17" thickBot="1" x14ac:dyDescent="0.25">
      <c r="B105" s="30">
        <f t="shared" si="12"/>
        <v>0.41666666666666663</v>
      </c>
      <c r="C105" s="31">
        <f t="shared" si="13"/>
        <v>0.99120981994296642</v>
      </c>
      <c r="D105" s="31">
        <f t="shared" si="14"/>
        <v>8.3007217494538415E-3</v>
      </c>
      <c r="E105" s="31">
        <f t="shared" si="15"/>
        <v>4.89458307579866E-4</v>
      </c>
      <c r="F105" s="32">
        <f t="shared" si="16"/>
        <v>0.97537066835950648</v>
      </c>
      <c r="G105" s="33">
        <f t="shared" si="17"/>
        <v>48.649197696053584</v>
      </c>
      <c r="H105" s="34">
        <f t="shared" si="18"/>
        <v>4.8744663254145406</v>
      </c>
      <c r="I105" s="14">
        <f t="shared" si="19"/>
        <v>8.0566415380189771E-2</v>
      </c>
    </row>
    <row r="106" spans="1:9" ht="17" thickBot="1" x14ac:dyDescent="0.25">
      <c r="B106" s="30">
        <f t="shared" si="12"/>
        <v>0.49999999999999994</v>
      </c>
      <c r="C106" s="31">
        <f t="shared" si="13"/>
        <v>0.98945875602173528</v>
      </c>
      <c r="D106" s="31">
        <f t="shared" si="14"/>
        <v>9.9510792014855624E-3</v>
      </c>
      <c r="E106" s="31">
        <f t="shared" si="15"/>
        <v>5.9016477677928598E-4</v>
      </c>
      <c r="F106" s="32">
        <f t="shared" si="16"/>
        <v>0.97051807796965794</v>
      </c>
      <c r="G106" s="33">
        <f t="shared" si="17"/>
        <v>48.868724463265821</v>
      </c>
      <c r="H106" s="34">
        <f t="shared" si="18"/>
        <v>4.8497265619240633</v>
      </c>
      <c r="I106" s="14">
        <f t="shared" si="19"/>
        <v>8.0023967510371941E-2</v>
      </c>
    </row>
    <row r="107" spans="1:9" ht="17" thickBot="1" x14ac:dyDescent="0.25">
      <c r="B107" s="30">
        <f t="shared" si="12"/>
        <v>0.58333333333333326</v>
      </c>
      <c r="C107" s="31">
        <f t="shared" si="13"/>
        <v>0.98770999524715708</v>
      </c>
      <c r="D107" s="31">
        <f t="shared" si="14"/>
        <v>1.1598172491033815E-2</v>
      </c>
      <c r="E107" s="31">
        <f t="shared" si="15"/>
        <v>6.91832261809238E-4</v>
      </c>
      <c r="F107" s="32">
        <f t="shared" si="16"/>
        <v>0.96568962982055528</v>
      </c>
      <c r="G107" s="33">
        <f t="shared" si="17"/>
        <v>49.089617991680612</v>
      </c>
      <c r="H107" s="34">
        <f t="shared" si="18"/>
        <v>4.8251076728987536</v>
      </c>
      <c r="I107" s="14">
        <f t="shared" si="19"/>
        <v>7.9485108306690797E-2</v>
      </c>
    </row>
    <row r="108" spans="1:9" ht="17" thickBot="1" x14ac:dyDescent="0.25">
      <c r="B108" s="30">
        <f t="shared" si="12"/>
        <v>0.66666666666666663</v>
      </c>
      <c r="C108" s="31">
        <f t="shared" si="13"/>
        <v>0.98596352862186365</v>
      </c>
      <c r="D108" s="31">
        <f t="shared" si="14"/>
        <v>1.3242000665610796E-2</v>
      </c>
      <c r="E108" s="31">
        <f t="shared" si="15"/>
        <v>7.9447071252573321E-4</v>
      </c>
      <c r="F108" s="32">
        <f t="shared" si="16"/>
        <v>0.96088520380154796</v>
      </c>
      <c r="G108" s="33">
        <f t="shared" si="17"/>
        <v>49.31188431729732</v>
      </c>
      <c r="H108" s="34">
        <f t="shared" si="18"/>
        <v>4.8006090432451414</v>
      </c>
      <c r="I108" s="14">
        <f t="shared" si="19"/>
        <v>7.8949813845059405E-2</v>
      </c>
    </row>
    <row r="109" spans="1:9" ht="17" thickBot="1" x14ac:dyDescent="0.25">
      <c r="B109" s="30">
        <f t="shared" si="12"/>
        <v>0.75</v>
      </c>
      <c r="C109" s="31">
        <f t="shared" si="13"/>
        <v>0.98421934712439108</v>
      </c>
      <c r="D109" s="31">
        <f t="shared" si="14"/>
        <v>1.4882562694433187E-2</v>
      </c>
      <c r="E109" s="31">
        <f t="shared" si="15"/>
        <v>8.9809018117586884E-4</v>
      </c>
      <c r="F109" s="32">
        <f t="shared" si="16"/>
        <v>0.95610468039955032</v>
      </c>
      <c r="G109" s="33">
        <f t="shared" si="17"/>
        <v>49.535529478454578</v>
      </c>
      <c r="H109" s="34">
        <f t="shared" si="18"/>
        <v>4.7762300608695361</v>
      </c>
      <c r="I109" s="14">
        <f t="shared" si="19"/>
        <v>7.8418060360451666E-2</v>
      </c>
    </row>
    <row r="110" spans="1:9" ht="17" thickBot="1" x14ac:dyDescent="0.25">
      <c r="B110" s="30">
        <f t="shared" si="12"/>
        <v>0.83333333333333337</v>
      </c>
      <c r="C110" s="31">
        <f t="shared" si="13"/>
        <v>0.98247744170894091</v>
      </c>
      <c r="D110" s="31">
        <f t="shared" si="14"/>
        <v>1.6519857467683936E-2</v>
      </c>
      <c r="E110" s="31">
        <f t="shared" si="15"/>
        <v>1.0027008233752333E-3</v>
      </c>
      <c r="F110" s="32">
        <f t="shared" si="16"/>
        <v>0.95134794069607009</v>
      </c>
      <c r="G110" s="33">
        <f t="shared" si="17"/>
        <v>49.760559515629375</v>
      </c>
      <c r="H110" s="34">
        <f t="shared" si="18"/>
        <v>4.751970116663089</v>
      </c>
      <c r="I110" s="14">
        <f t="shared" si="19"/>
        <v>7.7889824245845354E-2</v>
      </c>
    </row>
    <row r="111" spans="1:9" ht="17" thickBot="1" x14ac:dyDescent="0.25">
      <c r="B111" s="30">
        <f t="shared" si="12"/>
        <v>0.91666666666666674</v>
      </c>
      <c r="C111" s="31">
        <f t="shared" si="13"/>
        <v>0.98073780330513949</v>
      </c>
      <c r="D111" s="31">
        <f t="shared" si="14"/>
        <v>1.815388379576708E-2</v>
      </c>
      <c r="E111" s="31">
        <f t="shared" si="15"/>
        <v>1.1083128990934594E-3</v>
      </c>
      <c r="F111" s="32">
        <f t="shared" si="16"/>
        <v>0.94661486636424896</v>
      </c>
      <c r="G111" s="33">
        <f t="shared" si="17"/>
        <v>49.986980471229778</v>
      </c>
      <c r="H111" s="34">
        <f t="shared" si="18"/>
        <v>4.7278286044869189</v>
      </c>
      <c r="I111" s="14">
        <f t="shared" si="19"/>
        <v>7.7365082051171805E-2</v>
      </c>
    </row>
    <row r="112" spans="1:9" ht="17" thickBot="1" x14ac:dyDescent="0.25">
      <c r="B112" s="30">
        <f t="shared" si="12"/>
        <v>1</v>
      </c>
      <c r="C112" s="31">
        <f t="shared" si="13"/>
        <v>0.97900042281779642</v>
      </c>
      <c r="D112" s="31">
        <f t="shared" si="14"/>
        <v>1.9784640408555581E-2</v>
      </c>
      <c r="E112" s="31">
        <f t="shared" si="15"/>
        <v>1.2149367736479688E-3</v>
      </c>
      <c r="F112" s="32">
        <f t="shared" si="16"/>
        <v>0.94190533966591972</v>
      </c>
      <c r="G112" s="33">
        <f t="shared" si="17"/>
        <v>50.214798389380817</v>
      </c>
      <c r="H112" s="34">
        <f t="shared" si="18"/>
        <v>4.7038049211573218</v>
      </c>
      <c r="I112" s="14">
        <f t="shared" si="19"/>
        <v>7.684381048227297E-2</v>
      </c>
    </row>
    <row r="113" spans="2:9" ht="17" thickBot="1" x14ac:dyDescent="0.25">
      <c r="B113" s="30">
        <f t="shared" si="12"/>
        <v>1.0833333333333333</v>
      </c>
      <c r="C113" s="31">
        <f t="shared" si="13"/>
        <v>0.97726529112666194</v>
      </c>
      <c r="D113" s="31">
        <f t="shared" si="14"/>
        <v>2.1412125954632117E-2</v>
      </c>
      <c r="E113" s="31">
        <f t="shared" si="15"/>
        <v>1.3225829187059521E-3</v>
      </c>
      <c r="F113" s="32">
        <f t="shared" si="16"/>
        <v>0.93721924344867635</v>
      </c>
      <c r="G113" s="33">
        <f t="shared" si="17"/>
        <v>50.444019315704786</v>
      </c>
      <c r="H113" s="34">
        <f t="shared" si="18"/>
        <v>4.6798984664310428</v>
      </c>
      <c r="I113" s="14">
        <f t="shared" si="19"/>
        <v>7.6325986399865042E-2</v>
      </c>
    </row>
    <row r="114" spans="2:9" ht="17" thickBot="1" x14ac:dyDescent="0.25">
      <c r="B114" s="30">
        <f t="shared" si="12"/>
        <v>1.1666666666666665</v>
      </c>
      <c r="C114" s="31">
        <f t="shared" si="13"/>
        <v>0.97553239908618261</v>
      </c>
      <c r="D114" s="31">
        <f t="shared" si="14"/>
        <v>2.3036339000522786E-2</v>
      </c>
      <c r="E114" s="31">
        <f t="shared" si="15"/>
        <v>1.4312619132946245E-3</v>
      </c>
      <c r="F114" s="32">
        <f t="shared" si="16"/>
        <v>0.9325564611429612</v>
      </c>
      <c r="G114" s="33">
        <f t="shared" si="17"/>
        <v>50.674649297093652</v>
      </c>
      <c r="H114" s="34">
        <f t="shared" si="18"/>
        <v>4.6561086429906524</v>
      </c>
      <c r="I114" s="14">
        <f t="shared" si="19"/>
        <v>7.5811586818509455E-2</v>
      </c>
    </row>
    <row r="115" spans="2:9" ht="17" thickBot="1" x14ac:dyDescent="0.25">
      <c r="B115" s="30">
        <f t="shared" si="12"/>
        <v>1.2499999999999998</v>
      </c>
      <c r="C115" s="31">
        <f t="shared" si="13"/>
        <v>0.97380173752525656</v>
      </c>
      <c r="D115" s="31">
        <f t="shared" si="14"/>
        <v>2.4657278029923679E-2</v>
      </c>
      <c r="E115" s="31">
        <f t="shared" si="15"/>
        <v>1.5409844448198021E-3</v>
      </c>
      <c r="F115" s="32">
        <f t="shared" si="16"/>
        <v>0.92791687675916534</v>
      </c>
      <c r="G115" s="33">
        <f t="shared" si="17"/>
        <v>50.906694381475944</v>
      </c>
      <c r="H115" s="34">
        <f t="shared" si="18"/>
        <v>4.6324348564299687</v>
      </c>
      <c r="I115" s="14">
        <f t="shared" si="19"/>
        <v>7.5300588905590382E-2</v>
      </c>
    </row>
    <row r="116" spans="2:9" ht="17" thickBot="1" x14ac:dyDescent="0.25">
      <c r="B116" s="30">
        <f t="shared" si="12"/>
        <v>1.333333333333333</v>
      </c>
      <c r="C116" s="31">
        <f t="shared" si="13"/>
        <v>0.97207329724698688</v>
      </c>
      <c r="D116" s="31">
        <f t="shared" si="14"/>
        <v>2.6274941442920287E-2</v>
      </c>
      <c r="E116" s="31">
        <f t="shared" si="15"/>
        <v>1.6517613100928388E-3</v>
      </c>
      <c r="F116" s="32">
        <f t="shared" si="16"/>
        <v>0.9233003748847417</v>
      </c>
      <c r="G116" s="33">
        <f t="shared" si="17"/>
        <v>51.140160617575674</v>
      </c>
      <c r="H116" s="34">
        <f t="shared" si="18"/>
        <v>4.6088765152395643</v>
      </c>
      <c r="I116" s="14">
        <f t="shared" si="19"/>
        <v>7.4792969980299162E-2</v>
      </c>
    </row>
    <row r="117" spans="2:9" ht="17" thickBot="1" x14ac:dyDescent="0.25">
      <c r="B117" s="30">
        <f t="shared" si="12"/>
        <v>1.4166666666666663</v>
      </c>
      <c r="C117" s="31">
        <f t="shared" si="13"/>
        <v>0.97034706902843437</v>
      </c>
      <c r="D117" s="31">
        <f t="shared" si="14"/>
        <v>2.788932755519969E-2</v>
      </c>
      <c r="E117" s="31">
        <f t="shared" si="15"/>
        <v>1.7636034163659659E-3</v>
      </c>
      <c r="F117" s="32">
        <f t="shared" si="16"/>
        <v>0.91870684068133524</v>
      </c>
      <c r="G117" s="33">
        <f t="shared" si="17"/>
        <v>51.375054054665341</v>
      </c>
      <c r="H117" s="34">
        <f t="shared" si="18"/>
        <v>4.5854330307923545</v>
      </c>
      <c r="I117" s="14">
        <f t="shared" si="19"/>
        <v>7.4288707512625535E-2</v>
      </c>
    </row>
    <row r="118" spans="2:9" ht="17" thickBot="1" x14ac:dyDescent="0.25">
      <c r="B118" s="30">
        <f t="shared" si="12"/>
        <v>1.4999999999999996</v>
      </c>
      <c r="C118" s="31">
        <f t="shared" si="13"/>
        <v>0.96862304362036844</v>
      </c>
      <c r="D118" s="31">
        <f t="shared" si="14"/>
        <v>2.9500434597255494E-2</v>
      </c>
      <c r="E118" s="31">
        <f t="shared" si="15"/>
        <v>1.8765217823760747E-3</v>
      </c>
      <c r="F118" s="32">
        <f t="shared" si="16"/>
        <v>0.91413615988192576</v>
      </c>
      <c r="G118" s="33">
        <f t="shared" si="17"/>
        <v>51.611380742311304</v>
      </c>
      <c r="H118" s="34">
        <f t="shared" si="18"/>
        <v>4.5621038173292483</v>
      </c>
      <c r="I118" s="14">
        <f t="shared" si="19"/>
        <v>7.3787779122355554E-2</v>
      </c>
    </row>
    <row r="119" spans="2:9" ht="17" thickBot="1" x14ac:dyDescent="0.25">
      <c r="B119" s="30">
        <f t="shared" si="12"/>
        <v>1.5833333333333328</v>
      </c>
      <c r="C119" s="31">
        <f t="shared" si="13"/>
        <v>0.9669012117470176</v>
      </c>
      <c r="D119" s="31">
        <f t="shared" si="14"/>
        <v>3.1108260713585464E-2</v>
      </c>
      <c r="E119" s="31">
        <f t="shared" si="15"/>
        <v>1.9905275393969834E-3</v>
      </c>
      <c r="F119" s="32">
        <f t="shared" si="16"/>
        <v>0.9095882187879859</v>
      </c>
      <c r="G119" s="33">
        <f t="shared" si="17"/>
        <v>51.84914673011216</v>
      </c>
      <c r="H119" s="34">
        <f t="shared" si="18"/>
        <v>4.538888291944887</v>
      </c>
      <c r="I119" s="14">
        <f t="shared" si="19"/>
        <v>7.3290162578076246E-2</v>
      </c>
    </row>
    <row r="120" spans="2:9" ht="17" thickBot="1" x14ac:dyDescent="0.25">
      <c r="B120" s="30">
        <f t="shared" si="12"/>
        <v>1.6666666666666661</v>
      </c>
      <c r="C120" s="31">
        <f t="shared" si="13"/>
        <v>0.96518156410581801</v>
      </c>
      <c r="D120" s="31">
        <f t="shared" si="14"/>
        <v>3.2712803961881809E-2</v>
      </c>
      <c r="E120" s="31">
        <f t="shared" si="15"/>
        <v>2.1056319323002281E-3</v>
      </c>
      <c r="F120" s="32">
        <f t="shared" si="16"/>
        <v>0.90506290426665281</v>
      </c>
      <c r="G120" s="33">
        <f t="shared" si="17"/>
        <v>52.088358067430249</v>
      </c>
      <c r="H120" s="34">
        <f t="shared" si="18"/>
        <v>4.5157858745734432</v>
      </c>
      <c r="I120" s="14">
        <f t="shared" si="19"/>
        <v>7.2795835796186856E-2</v>
      </c>
    </row>
    <row r="121" spans="2:9" ht="17" thickBot="1" x14ac:dyDescent="0.25">
      <c r="B121" s="30">
        <f t="shared" si="12"/>
        <v>1.7499999999999993</v>
      </c>
      <c r="C121" s="31">
        <f t="shared" si="13"/>
        <v>0.96346409136716149</v>
      </c>
      <c r="D121" s="31">
        <f t="shared" si="14"/>
        <v>3.4314062312214094E-2</v>
      </c>
      <c r="E121" s="31">
        <f t="shared" si="15"/>
        <v>2.2218463206244146E-3</v>
      </c>
      <c r="F121" s="32">
        <f t="shared" si="16"/>
        <v>0.90056010374791329</v>
      </c>
      <c r="G121" s="33">
        <f t="shared" si="17"/>
        <v>52.329020803114844</v>
      </c>
      <c r="H121" s="34">
        <f t="shared" si="18"/>
        <v>4.4927959879744996</v>
      </c>
      <c r="I121" s="14">
        <f t="shared" si="19"/>
        <v>7.2304776839916665E-2</v>
      </c>
    </row>
    <row r="122" spans="2:9" ht="17" thickBot="1" x14ac:dyDescent="0.25">
      <c r="B122" s="30">
        <f t="shared" si="12"/>
        <v>1.8333333333333326</v>
      </c>
      <c r="C122" s="31">
        <f t="shared" si="13"/>
        <v>0.96174878417414211</v>
      </c>
      <c r="D122" s="31">
        <f t="shared" si="14"/>
        <v>3.5912033646204718E-2</v>
      </c>
      <c r="E122" s="31">
        <f t="shared" si="15"/>
        <v>2.3391821796531756E-3</v>
      </c>
      <c r="F122" s="32">
        <f t="shared" si="16"/>
        <v>0.89607970522180436</v>
      </c>
      <c r="G122" s="33">
        <f t="shared" si="17"/>
        <v>52.571140985219664</v>
      </c>
      <c r="H122" s="34">
        <f t="shared" si="18"/>
        <v>4.4699180577190036</v>
      </c>
      <c r="I122" s="14">
        <f t="shared" si="19"/>
        <v>7.1816963918349505E-2</v>
      </c>
    </row>
    <row r="123" spans="2:9" ht="17" thickBot="1" x14ac:dyDescent="0.25">
      <c r="B123" s="30">
        <f t="shared" si="12"/>
        <v>1.9166666666666659</v>
      </c>
      <c r="C123" s="31">
        <f t="shared" si="13"/>
        <v>0.96003563314230134</v>
      </c>
      <c r="D123" s="31">
        <f t="shared" si="14"/>
        <v>3.7506715756196934E-2</v>
      </c>
      <c r="E123" s="31">
        <f t="shared" si="15"/>
        <v>2.4576511015017653E-3</v>
      </c>
      <c r="F123" s="32">
        <f t="shared" si="16"/>
        <v>0.89162159723562628</v>
      </c>
      <c r="G123" s="33">
        <f t="shared" si="17"/>
        <v>52.814724660711065</v>
      </c>
      <c r="H123" s="34">
        <f t="shared" si="18"/>
        <v>4.4471515121752869</v>
      </c>
      <c r="I123" s="14">
        <f t="shared" si="19"/>
        <v>7.1332375385454547E-2</v>
      </c>
    </row>
    <row r="124" spans="2:9" ht="17" thickBot="1" x14ac:dyDescent="0.25">
      <c r="B124" s="30">
        <f t="shared" si="12"/>
        <v>1.9999999999999991</v>
      </c>
      <c r="C124" s="31">
        <f t="shared" si="13"/>
        <v>0.95832462885937242</v>
      </c>
      <c r="D124" s="31">
        <f t="shared" si="14"/>
        <v>3.9098106344415337E-2</v>
      </c>
      <c r="E124" s="31">
        <f t="shared" si="15"/>
        <v>2.5772647962123323E-3</v>
      </c>
      <c r="F124" s="32">
        <f t="shared" si="16"/>
        <v>0.88718566889117056</v>
      </c>
      <c r="G124" s="33">
        <f t="shared" si="17"/>
        <v>53.059777875169338</v>
      </c>
      <c r="H124" s="34">
        <f t="shared" si="18"/>
        <v>4.4244957824951658</v>
      </c>
      <c r="I124" s="14">
        <f t="shared" si="19"/>
        <v>7.0850989739123751E-2</v>
      </c>
    </row>
    <row r="125" spans="2:9" ht="17" thickBot="1" x14ac:dyDescent="0.25">
      <c r="B125" s="30">
        <f t="shared" si="12"/>
        <v>2.0833333333333326</v>
      </c>
      <c r="C125" s="31">
        <f t="shared" si="13"/>
        <v>0.95661576188502329</v>
      </c>
      <c r="D125" s="31">
        <f t="shared" si="14"/>
        <v>4.0686203022118853E-2</v>
      </c>
      <c r="E125" s="31">
        <f t="shared" si="15"/>
        <v>2.6980350928579081E-3</v>
      </c>
      <c r="F125" s="32">
        <f t="shared" si="16"/>
        <v>0.88277180984196091</v>
      </c>
      <c r="G125" s="33">
        <f t="shared" si="17"/>
        <v>53.306306672482727</v>
      </c>
      <c r="H125" s="34">
        <f t="shared" si="18"/>
        <v>4.4019503026001079</v>
      </c>
      <c r="I125" s="14">
        <f t="shared" si="19"/>
        <v>7.0372785620215692E-2</v>
      </c>
    </row>
    <row r="126" spans="2:9" ht="17" thickBot="1" x14ac:dyDescent="0.25">
      <c r="B126" s="30">
        <f t="shared" si="12"/>
        <v>2.1666666666666661</v>
      </c>
      <c r="C126" s="31">
        <f t="shared" si="13"/>
        <v>0.95490902275059886</v>
      </c>
      <c r="D126" s="31">
        <f t="shared" si="14"/>
        <v>4.2271003308746079E-2</v>
      </c>
      <c r="E126" s="31">
        <f t="shared" si="15"/>
        <v>2.8199739406551466E-3</v>
      </c>
      <c r="F126" s="32">
        <f t="shared" si="16"/>
        <v>0.87837991029050844</v>
      </c>
      <c r="G126" s="33">
        <f t="shared" si="17"/>
        <v>53.554317094533147</v>
      </c>
      <c r="H126" s="34">
        <f t="shared" si="18"/>
        <v>4.3795145091674703</v>
      </c>
      <c r="I126" s="14">
        <f t="shared" si="19"/>
        <v>6.9897741811605671E-2</v>
      </c>
    </row>
    <row r="127" spans="2:9" ht="17" thickBot="1" x14ac:dyDescent="0.25">
      <c r="B127" s="30">
        <f t="shared" si="12"/>
        <v>2.2499999999999996</v>
      </c>
      <c r="C127" s="31">
        <f t="shared" si="13"/>
        <v>0.95320440195886125</v>
      </c>
      <c r="D127" s="31">
        <f t="shared" si="14"/>
        <v>4.385250463105303E-2</v>
      </c>
      <c r="E127" s="31">
        <f t="shared" si="15"/>
        <v>2.9430934100858493E-3</v>
      </c>
      <c r="F127" s="32">
        <f t="shared" si="16"/>
        <v>0.87400986098558053</v>
      </c>
      <c r="G127" s="33">
        <f t="shared" si="17"/>
        <v>53.803815180873464</v>
      </c>
      <c r="H127" s="34">
        <f t="shared" si="18"/>
        <v>4.3571878416168186</v>
      </c>
      <c r="I127" s="14">
        <f t="shared" si="19"/>
        <v>6.9425837237242313E-2</v>
      </c>
    </row>
    <row r="128" spans="2:9" ht="17" thickBot="1" x14ac:dyDescent="0.25">
      <c r="B128" s="30">
        <f t="shared" si="12"/>
        <v>2.333333333333333</v>
      </c>
      <c r="C128" s="31">
        <f t="shared" si="13"/>
        <v>0.95150188998372953</v>
      </c>
      <c r="D128" s="31">
        <f t="shared" si="14"/>
        <v>4.5430704322243234E-2</v>
      </c>
      <c r="E128" s="31">
        <f t="shared" si="15"/>
        <v>3.0674056940273135E-3</v>
      </c>
      <c r="F128" s="32">
        <f t="shared" si="16"/>
        <v>0.86966155321948335</v>
      </c>
      <c r="G128" s="33">
        <f t="shared" si="17"/>
        <v>54.0548069683976</v>
      </c>
      <c r="H128" s="34">
        <f t="shared" si="18"/>
        <v>4.3349697420963063</v>
      </c>
      <c r="I128" s="14">
        <f t="shared" si="19"/>
        <v>6.8957050961210353E-2</v>
      </c>
    </row>
    <row r="129" spans="2:9" ht="17" thickBot="1" x14ac:dyDescent="0.25">
      <c r="B129" s="30">
        <f t="shared" si="12"/>
        <v>2.4166666666666665</v>
      </c>
      <c r="C129" s="31">
        <f t="shared" si="13"/>
        <v>0.94980147727001851</v>
      </c>
      <c r="D129" s="31">
        <f t="shared" si="14"/>
        <v>4.700559962109007E-2</v>
      </c>
      <c r="E129" s="31">
        <f t="shared" si="15"/>
        <v>3.1929231088915371E-3</v>
      </c>
      <c r="F129" s="32">
        <f t="shared" si="16"/>
        <v>0.86533487882535765</v>
      </c>
      <c r="G129" s="33">
        <f t="shared" si="17"/>
        <v>54.307298491002541</v>
      </c>
      <c r="H129" s="34">
        <f t="shared" si="18"/>
        <v>4.3128596554691319</v>
      </c>
      <c r="I129" s="14">
        <f t="shared" si="19"/>
        <v>6.8491362186799756E-2</v>
      </c>
    </row>
    <row r="130" spans="2:9" ht="17" thickBot="1" x14ac:dyDescent="0.25">
      <c r="B130" s="30">
        <f t="shared" si="12"/>
        <v>2.5</v>
      </c>
      <c r="C130" s="31">
        <f t="shared" si="13"/>
        <v>0.94810315423317537</v>
      </c>
      <c r="D130" s="31">
        <f t="shared" si="14"/>
        <v>4.857718767105141E-2</v>
      </c>
      <c r="E130" s="31">
        <f t="shared" si="15"/>
        <v>3.3196580957733112E-3</v>
      </c>
      <c r="F130" s="32">
        <f t="shared" si="16"/>
        <v>0.86102973017448536</v>
      </c>
      <c r="G130" s="33">
        <f t="shared" si="17"/>
        <v>54.561295779240446</v>
      </c>
      <c r="H130" s="34">
        <f t="shared" si="18"/>
        <v>4.2908570293000512</v>
      </c>
      <c r="I130" s="14">
        <f t="shared" si="19"/>
        <v>6.8028750255580792E-2</v>
      </c>
    </row>
    <row r="131" spans="2:9" ht="17" thickBot="1" x14ac:dyDescent="0.25">
      <c r="B131" s="30">
        <f t="shared" si="12"/>
        <v>2.5833333333333335</v>
      </c>
      <c r="C131" s="31">
        <f t="shared" si="13"/>
        <v>0.94640691125901644</v>
      </c>
      <c r="D131" s="31">
        <f t="shared" si="14"/>
        <v>5.0145465519376445E-2</v>
      </c>
      <c r="E131" s="31">
        <f t="shared" si="15"/>
        <v>3.447623221607236E-3</v>
      </c>
      <c r="F131" s="32">
        <f t="shared" si="16"/>
        <v>0.85674600017361746</v>
      </c>
      <c r="G131" s="33">
        <f t="shared" si="17"/>
        <v>54.816804859964329</v>
      </c>
      <c r="H131" s="34">
        <f t="shared" si="18"/>
        <v>4.2689613138419986</v>
      </c>
      <c r="I131" s="14">
        <f t="shared" si="19"/>
        <v>6.7569194646485836E-2</v>
      </c>
    </row>
    <row r="132" spans="2:9" ht="17" thickBot="1" x14ac:dyDescent="0.25">
      <c r="B132" s="30">
        <f t="shared" ref="B132:B160" si="20">B58</f>
        <v>2.666666666666667</v>
      </c>
      <c r="C132" s="31">
        <f t="shared" ref="C132:C160" si="21">F58</f>
        <v>0.94471273870346173</v>
      </c>
      <c r="D132" s="31">
        <f t="shared" ref="D132:D160" si="22">G58</f>
        <v>5.1710430116204721E-2</v>
      </c>
      <c r="E132" s="31">
        <f t="shared" ref="E132:E160" si="23">H58</f>
        <v>3.5768311803336915E-3</v>
      </c>
      <c r="F132" s="32">
        <f t="shared" ref="F132:F160" si="24">(1+I_12/12)^(-12*B132)</f>
        <v>0.85248358226230603</v>
      </c>
      <c r="G132" s="33">
        <f t="shared" si="17"/>
        <v>55.073831755964498</v>
      </c>
      <c r="H132" s="34">
        <f t="shared" si="18"/>
        <v>4.2471719620227386</v>
      </c>
      <c r="I132" s="14">
        <f t="shared" si="19"/>
        <v>6.7112674974896744E-2</v>
      </c>
    </row>
    <row r="133" spans="2:9" ht="17" thickBot="1" x14ac:dyDescent="0.25">
      <c r="B133" s="30">
        <f t="shared" si="20"/>
        <v>2.7500000000000004</v>
      </c>
      <c r="C133" s="31">
        <f t="shared" si="21"/>
        <v>0.94302062689226906</v>
      </c>
      <c r="D133" s="31">
        <f t="shared" si="22"/>
        <v>5.3272078313657288E-2</v>
      </c>
      <c r="E133" s="31">
        <f t="shared" si="23"/>
        <v>3.7072947940737927E-3</v>
      </c>
      <c r="F133" s="32">
        <f t="shared" si="24"/>
        <v>0.84824237041025363</v>
      </c>
      <c r="G133" s="33">
        <f t="shared" ref="G133:G160" si="25">DB*F133*(E133-E132)</f>
        <v>55.332382485595595</v>
      </c>
      <c r="H133" s="34">
        <f t="shared" ref="H133:H159" si="26">Maint_exp*F133*(1-E133)</f>
        <v>4.2254884294315946</v>
      </c>
      <c r="I133" s="14">
        <f t="shared" si="19"/>
        <v>6.6659170991738473E-2</v>
      </c>
    </row>
    <row r="134" spans="2:9" ht="17" thickBot="1" x14ac:dyDescent="0.25">
      <c r="B134" s="30">
        <f t="shared" si="20"/>
        <v>2.8333333333333339</v>
      </c>
      <c r="C134" s="31">
        <f t="shared" si="21"/>
        <v>0.94133056612076682</v>
      </c>
      <c r="D134" s="31">
        <f t="shared" si="22"/>
        <v>5.4830406864919974E-2</v>
      </c>
      <c r="E134" s="31">
        <f t="shared" si="23"/>
        <v>3.8390270143133605E-3</v>
      </c>
      <c r="F134" s="32">
        <f t="shared" si="24"/>
        <v>0.84402225911468021</v>
      </c>
      <c r="G134" s="33">
        <f t="shared" si="25"/>
        <v>55.592463062396291</v>
      </c>
      <c r="H134" s="34">
        <f t="shared" si="26"/>
        <v>4.2039101743062863</v>
      </c>
      <c r="I134" s="14">
        <f t="shared" si="19"/>
        <v>6.6208662582579209E-2</v>
      </c>
    </row>
    <row r="135" spans="2:9" ht="17" thickBot="1" x14ac:dyDescent="0.25">
      <c r="B135" s="30">
        <f t="shared" si="20"/>
        <v>2.9166666666666674</v>
      </c>
      <c r="C135" s="31">
        <f t="shared" si="21"/>
        <v>0.93964254665358549</v>
      </c>
      <c r="D135" s="31">
        <f t="shared" si="22"/>
        <v>5.6385412423318737E-2</v>
      </c>
      <c r="E135" s="31">
        <f t="shared" si="23"/>
        <v>3.9720409230959361E-3</v>
      </c>
      <c r="F135" s="32">
        <f t="shared" si="24"/>
        <v>0.83982314339769193</v>
      </c>
      <c r="G135" s="33">
        <f t="shared" si="25"/>
        <v>55.854079494698261</v>
      </c>
      <c r="H135" s="34">
        <f t="shared" si="26"/>
        <v>4.1824366575197667</v>
      </c>
      <c r="I135" s="14">
        <f t="shared" si="19"/>
        <v>6.5761129766735552E-2</v>
      </c>
    </row>
    <row r="136" spans="2:9" ht="17" thickBot="1" x14ac:dyDescent="0.25">
      <c r="B136" s="30">
        <f t="shared" si="20"/>
        <v>3.0000000000000009</v>
      </c>
      <c r="C136" s="31">
        <f t="shared" si="21"/>
        <v>0.93795655872438821</v>
      </c>
      <c r="D136" s="31">
        <f t="shared" si="22"/>
        <v>5.7937091541387029E-2</v>
      </c>
      <c r="E136" s="31">
        <f t="shared" si="23"/>
        <v>4.1063497342248723E-3</v>
      </c>
      <c r="F136" s="32">
        <f t="shared" si="24"/>
        <v>0.83564491880367353</v>
      </c>
      <c r="G136" s="33">
        <f t="shared" si="25"/>
        <v>56.117237785228923</v>
      </c>
      <c r="H136" s="34">
        <f t="shared" si="26"/>
        <v>4.1610673425671889</v>
      </c>
      <c r="I136" s="14">
        <f t="shared" si="19"/>
        <v>6.5316552696384533E-2</v>
      </c>
    </row>
    <row r="137" spans="2:9" ht="17" thickBot="1" x14ac:dyDescent="0.25">
      <c r="B137" s="30">
        <f t="shared" si="20"/>
        <v>3.0833333333333344</v>
      </c>
      <c r="C137" s="31">
        <f t="shared" si="21"/>
        <v>0.93627259253560036</v>
      </c>
      <c r="D137" s="31">
        <f t="shared" si="22"/>
        <v>5.9485440669925192E-2</v>
      </c>
      <c r="E137" s="31">
        <f t="shared" si="23"/>
        <v>4.2419667944745198E-3</v>
      </c>
      <c r="F137" s="32">
        <f t="shared" si="24"/>
        <v>0.83148748139669015</v>
      </c>
      <c r="G137" s="33">
        <f t="shared" si="25"/>
        <v>56.381943930701283</v>
      </c>
      <c r="H137" s="34">
        <f t="shared" si="26"/>
        <v>4.1398016955529213</v>
      </c>
      <c r="I137" s="14">
        <f t="shared" si="19"/>
        <v>6.4874911655681322E-2</v>
      </c>
    </row>
    <row r="138" spans="2:9" ht="17" thickBot="1" x14ac:dyDescent="0.25">
      <c r="B138" s="30">
        <f t="shared" si="20"/>
        <v>3.1666666666666679</v>
      </c>
      <c r="C138" s="31">
        <f t="shared" si="21"/>
        <v>0.93459063825813771</v>
      </c>
      <c r="D138" s="31">
        <f t="shared" si="22"/>
        <v>6.1030456157051792E-2</v>
      </c>
      <c r="E138" s="31">
        <f t="shared" si="23"/>
        <v>4.3789055848105435E-3</v>
      </c>
      <c r="F138" s="32">
        <f t="shared" si="24"/>
        <v>0.82735072775790086</v>
      </c>
      <c r="G138" s="33">
        <f t="shared" si="25"/>
        <v>56.648203921397901</v>
      </c>
      <c r="H138" s="34">
        <f t="shared" si="26"/>
        <v>4.1186391851776234</v>
      </c>
      <c r="I138" s="14">
        <f t="shared" si="19"/>
        <v>6.4436187059882605E-2</v>
      </c>
    </row>
    <row r="139" spans="2:9" ht="17" thickBot="1" x14ac:dyDescent="0.25">
      <c r="B139" s="30">
        <f t="shared" si="20"/>
        <v>3.2500000000000013</v>
      </c>
      <c r="C139" s="31">
        <f t="shared" si="21"/>
        <v>0.9329106860311337</v>
      </c>
      <c r="D139" s="31">
        <f t="shared" si="22"/>
        <v>6.2572134247246919E-2</v>
      </c>
      <c r="E139" s="31">
        <f t="shared" si="23"/>
        <v>4.5171797216193915E-3</v>
      </c>
      <c r="F139" s="32">
        <f t="shared" si="24"/>
        <v>0.82323455498298603</v>
      </c>
      <c r="G139" s="33">
        <f t="shared" si="25"/>
        <v>56.916023740744244</v>
      </c>
      <c r="H139" s="34">
        <f t="shared" si="26"/>
        <v>4.0975792827254027</v>
      </c>
      <c r="I139" s="14">
        <f t="shared" si="19"/>
        <v>6.4000359454476047E-2</v>
      </c>
    </row>
    <row r="140" spans="2:9" ht="17" thickBot="1" x14ac:dyDescent="0.25">
      <c r="B140" s="30">
        <f t="shared" si="20"/>
        <v>3.3333333333333348</v>
      </c>
      <c r="C140" s="31">
        <f t="shared" si="21"/>
        <v>0.93123272596166573</v>
      </c>
      <c r="D140" s="31">
        <f t="shared" si="22"/>
        <v>6.411047108038738E-2</v>
      </c>
      <c r="E140" s="31">
        <f t="shared" si="23"/>
        <v>4.6568029579469369E-3</v>
      </c>
      <c r="F140" s="32">
        <f t="shared" si="24"/>
        <v>0.81913886067958808</v>
      </c>
      <c r="G140" s="33">
        <f t="shared" si="25"/>
        <v>57.185409364871198</v>
      </c>
      <c r="H140" s="34">
        <f t="shared" si="26"/>
        <v>4.0766214620510306</v>
      </c>
      <c r="I140" s="14">
        <f t="shared" si="19"/>
        <v>6.3567409514315498E-2</v>
      </c>
    </row>
    <row r="141" spans="2:9" ht="17" thickBot="1" x14ac:dyDescent="0.25">
      <c r="B141" s="30">
        <f t="shared" si="20"/>
        <v>3.4166666666666683</v>
      </c>
      <c r="C141" s="31">
        <f t="shared" si="21"/>
        <v>0.92955674812447997</v>
      </c>
      <c r="D141" s="31">
        <f t="shared" si="22"/>
        <v>6.5645462690773745E-2</v>
      </c>
      <c r="E141" s="31">
        <f t="shared" si="23"/>
        <v>4.7977891847463226E-3</v>
      </c>
      <c r="F141" s="32">
        <f t="shared" si="24"/>
        <v>0.81506354296476424</v>
      </c>
      <c r="G141" s="33">
        <f t="shared" si="25"/>
        <v>57.456366762170575</v>
      </c>
      <c r="H141" s="34">
        <f t="shared" si="26"/>
        <v>4.0557651995672348</v>
      </c>
      <c r="I141" s="14">
        <f t="shared" si="19"/>
        <v>6.3137318042761972E-2</v>
      </c>
    </row>
    <row r="142" spans="2:9" ht="17" thickBot="1" x14ac:dyDescent="0.25">
      <c r="B142" s="30">
        <f t="shared" si="20"/>
        <v>3.5000000000000018</v>
      </c>
      <c r="C142" s="31">
        <f t="shared" si="21"/>
        <v>0.92788274256171577</v>
      </c>
      <c r="D142" s="31">
        <f t="shared" si="22"/>
        <v>6.7177105006149249E-2</v>
      </c>
      <c r="E142" s="31">
        <f t="shared" si="23"/>
        <v>4.9401524321350263E-3</v>
      </c>
      <c r="F142" s="32">
        <f t="shared" si="24"/>
        <v>0.81100850046245221</v>
      </c>
      <c r="G142" s="33">
        <f t="shared" si="25"/>
        <v>57.728901892838834</v>
      </c>
      <c r="H142" s="34">
        <f t="shared" si="26"/>
        <v>4.035009974232052</v>
      </c>
      <c r="I142" s="14">
        <f t="shared" si="19"/>
        <v>6.2710065970830384E-2</v>
      </c>
    </row>
    <row r="143" spans="2:9" ht="17" thickBot="1" x14ac:dyDescent="0.25">
      <c r="B143" s="30">
        <f t="shared" si="20"/>
        <v>3.5833333333333353</v>
      </c>
      <c r="C143" s="31">
        <f t="shared" si="21"/>
        <v>0.92621069928262834</v>
      </c>
      <c r="D143" s="31">
        <f t="shared" si="22"/>
        <v>6.8705393846710525E-2</v>
      </c>
      <c r="E143" s="31">
        <f t="shared" si="23"/>
        <v>5.0839068706611664E-3</v>
      </c>
      <c r="F143" s="32">
        <f t="shared" si="24"/>
        <v>0.80697363230094754</v>
      </c>
      <c r="G143" s="33">
        <f t="shared" si="25"/>
        <v>58.003020708411299</v>
      </c>
      <c r="H143" s="34">
        <f t="shared" si="26"/>
        <v>4.0143552675362519</v>
      </c>
      <c r="I143" s="14">
        <f t="shared" si="19"/>
        <v>6.2285634356341935E-2</v>
      </c>
    </row>
    <row r="144" spans="2:9" ht="17" thickBot="1" x14ac:dyDescent="0.25">
      <c r="B144" s="30">
        <f t="shared" si="20"/>
        <v>3.6666666666666687</v>
      </c>
      <c r="C144" s="31">
        <f t="shared" si="21"/>
        <v>0.92454060826331086</v>
      </c>
      <c r="D144" s="31">
        <f t="shared" si="22"/>
        <v>7.0230324924110091E-2</v>
      </c>
      <c r="E144" s="31">
        <f t="shared" si="23"/>
        <v>5.2290668125790701E-3</v>
      </c>
      <c r="F144" s="32">
        <f t="shared" si="24"/>
        <v>0.80295883811039559</v>
      </c>
      <c r="G144" s="33">
        <f t="shared" si="25"/>
        <v>58.278729151286214</v>
      </c>
      <c r="H144" s="34">
        <f t="shared" si="26"/>
        <v>3.9938005634908276</v>
      </c>
      <c r="I144" s="14">
        <f t="shared" si="19"/>
        <v>6.1864004383082205E-2</v>
      </c>
    </row>
    <row r="145" spans="2:9" ht="17" thickBot="1" x14ac:dyDescent="0.25">
      <c r="B145" s="30">
        <f t="shared" si="20"/>
        <v>3.7500000000000022</v>
      </c>
      <c r="C145" s="31">
        <f t="shared" si="21"/>
        <v>0.92287245944641527</v>
      </c>
      <c r="D145" s="31">
        <f t="shared" si="22"/>
        <v>7.1751893840450623E-2</v>
      </c>
      <c r="E145" s="31">
        <f t="shared" si="23"/>
        <v>5.3756467131341225E-3</v>
      </c>
      <c r="F145" s="32">
        <f t="shared" si="24"/>
        <v>0.79896401802029415</v>
      </c>
      <c r="G145" s="33">
        <f t="shared" si="25"/>
        <v>58.556033154239898</v>
      </c>
      <c r="H145" s="34">
        <f t="shared" si="26"/>
        <v>3.9733453486145547</v>
      </c>
      <c r="I145" s="14">
        <f t="shared" si="19"/>
        <v>6.1445157359964912E-2</v>
      </c>
    </row>
    <row r="146" spans="2:9" ht="17" thickBot="1" x14ac:dyDescent="0.25">
      <c r="B146" s="30">
        <f t="shared" si="20"/>
        <v>3.8333333333333357</v>
      </c>
      <c r="C146" s="31">
        <f t="shared" si="21"/>
        <v>0.92120624274087226</v>
      </c>
      <c r="D146" s="31">
        <f t="shared" si="22"/>
        <v>7.3270096087270878E-2</v>
      </c>
      <c r="E146" s="31">
        <f t="shared" si="23"/>
        <v>5.5236611718569115E-3</v>
      </c>
      <c r="F146" s="32">
        <f t="shared" si="24"/>
        <v>0.79498907265700935</v>
      </c>
      <c r="G146" s="33">
        <f t="shared" si="25"/>
        <v>58.834938639929632</v>
      </c>
      <c r="H146" s="34">
        <f t="shared" si="26"/>
        <v>3.9529891119216169</v>
      </c>
      <c r="I146" s="14">
        <f t="shared" si="19"/>
        <v>6.1029074720201158E-2</v>
      </c>
    </row>
    <row r="147" spans="2:9" ht="17" thickBot="1" x14ac:dyDescent="0.25">
      <c r="B147" s="30">
        <f t="shared" si="20"/>
        <v>3.9166666666666692</v>
      </c>
      <c r="C147" s="31">
        <f t="shared" si="21"/>
        <v>0.91954194802160993</v>
      </c>
      <c r="D147" s="31">
        <f t="shared" si="22"/>
        <v>7.4784927044523455E-2</v>
      </c>
      <c r="E147" s="31">
        <f t="shared" si="23"/>
        <v>5.673124933866687E-3</v>
      </c>
      <c r="F147" s="32">
        <f t="shared" si="24"/>
        <v>0.79103390314130284</v>
      </c>
      <c r="G147" s="33">
        <f t="shared" si="25"/>
        <v>59.11545152038773</v>
      </c>
      <c r="H147" s="34">
        <f t="shared" si="26"/>
        <v>3.93273134490929</v>
      </c>
      <c r="I147" s="14">
        <f t="shared" si="19"/>
        <v>6.0615738020474264E-2</v>
      </c>
    </row>
    <row r="148" spans="2:9" ht="17" thickBot="1" x14ac:dyDescent="0.25">
      <c r="B148" s="30">
        <f t="shared" si="20"/>
        <v>4.0000000000000027</v>
      </c>
      <c r="C148" s="31">
        <f t="shared" si="21"/>
        <v>0.91787956512927182</v>
      </c>
      <c r="D148" s="31">
        <f t="shared" si="22"/>
        <v>7.6296381979544081E-2</v>
      </c>
      <c r="E148" s="31">
        <f t="shared" si="23"/>
        <v>5.8240528911841435E-3</v>
      </c>
      <c r="F148" s="32">
        <f t="shared" si="24"/>
        <v>0.78709841108587353</v>
      </c>
      <c r="G148" s="33">
        <f t="shared" si="25"/>
        <v>59.397577696503298</v>
      </c>
      <c r="H148" s="34">
        <f t="shared" si="26"/>
        <v>3.9125715415457121</v>
      </c>
      <c r="I148" s="14">
        <f t="shared" si="19"/>
        <v>6.0205128940120201E-2</v>
      </c>
    </row>
    <row r="149" spans="2:9" ht="17" thickBot="1" x14ac:dyDescent="0.25">
      <c r="B149" s="30">
        <f t="shared" si="20"/>
        <v>4.0833333333333357</v>
      </c>
      <c r="C149" s="31">
        <f t="shared" si="21"/>
        <v>0.91621908386993378</v>
      </c>
      <c r="D149" s="31">
        <f t="shared" si="22"/>
        <v>7.7804456046012674E-2</v>
      </c>
      <c r="E149" s="31">
        <f t="shared" si="23"/>
        <v>5.9764600840535465E-3</v>
      </c>
      <c r="F149" s="32">
        <f t="shared" si="24"/>
        <v>0.78318249859290912</v>
      </c>
      <c r="G149" s="33">
        <f t="shared" si="25"/>
        <v>59.681323057495213</v>
      </c>
      <c r="H149" s="34">
        <f t="shared" si="26"/>
        <v>3.8925091982576965</v>
      </c>
      <c r="I149" s="14">
        <f t="shared" si="19"/>
        <v>5.9797229280313412E-2</v>
      </c>
    </row>
    <row r="150" spans="2:9" ht="17" thickBot="1" x14ac:dyDescent="0.25">
      <c r="B150" s="30">
        <f t="shared" si="20"/>
        <v>4.1666666666666687</v>
      </c>
      <c r="C150" s="31">
        <f t="shared" si="21"/>
        <v>0.91456049401481987</v>
      </c>
      <c r="D150" s="31">
        <f t="shared" si="22"/>
        <v>7.9309144282905933E-2</v>
      </c>
      <c r="E150" s="31">
        <f t="shared" si="23"/>
        <v>6.1303617022742058E-3</v>
      </c>
      <c r="F150" s="32">
        <f t="shared" si="24"/>
        <v>0.77928606825165092</v>
      </c>
      <c r="G150" s="33">
        <f t="shared" si="25"/>
        <v>59.966693480372093</v>
      </c>
      <c r="H150" s="34">
        <f t="shared" si="26"/>
        <v>3.8725438139186257</v>
      </c>
      <c r="I150" s="14">
        <f t="shared" si="19"/>
        <v>5.939202096325804E-2</v>
      </c>
    </row>
    <row r="151" spans="2:9" ht="17" thickBot="1" x14ac:dyDescent="0.25">
      <c r="B151" s="30">
        <f t="shared" si="20"/>
        <v>4.2500000000000018</v>
      </c>
      <c r="C151" s="31">
        <f t="shared" si="21"/>
        <v>0.91290378530001703</v>
      </c>
      <c r="D151" s="31">
        <f t="shared" si="22"/>
        <v>8.0810441613441628E-2</v>
      </c>
      <c r="E151" s="31">
        <f t="shared" si="23"/>
        <v>6.2857730865413138E-3</v>
      </c>
      <c r="F151" s="32">
        <f t="shared" si="24"/>
        <v>0.77540902313597115</v>
      </c>
      <c r="G151" s="33">
        <f t="shared" si="25"/>
        <v>60.253694829383619</v>
      </c>
      <c r="H151" s="34">
        <f t="shared" si="26"/>
        <v>3.8526748898364089</v>
      </c>
      <c r="I151" s="14">
        <f t="shared" si="19"/>
        <v>5.8989486031384708E-2</v>
      </c>
    </row>
    <row r="152" spans="2:9" ht="17" thickBot="1" x14ac:dyDescent="0.25">
      <c r="B152" s="30">
        <f t="shared" si="20"/>
        <v>4.3333333333333348</v>
      </c>
      <c r="C152" s="31">
        <f t="shared" si="21"/>
        <v>0.91124894742618945</v>
      </c>
      <c r="D152" s="31">
        <f t="shared" si="22"/>
        <v>8.2308342844014407E-2</v>
      </c>
      <c r="E152" s="31">
        <f t="shared" si="23"/>
        <v>6.4427097297961493E-3</v>
      </c>
      <c r="F152" s="32">
        <f t="shared" si="24"/>
        <v>0.7715512668019614</v>
      </c>
      <c r="G152" s="33">
        <f t="shared" si="25"/>
        <v>60.54233295545793</v>
      </c>
      <c r="H152" s="34">
        <f t="shared" si="26"/>
        <v>3.8329019297414995</v>
      </c>
      <c r="I152" s="14">
        <f t="shared" si="19"/>
        <v>5.8589606646552529E-2</v>
      </c>
    </row>
    <row r="153" spans="2:9" ht="17" thickBot="1" x14ac:dyDescent="0.25">
      <c r="B153" s="30">
        <f t="shared" si="20"/>
        <v>4.4166666666666679</v>
      </c>
      <c r="C153" s="31">
        <f t="shared" si="21"/>
        <v>0.90959597005829118</v>
      </c>
      <c r="D153" s="31">
        <f t="shared" si="22"/>
        <v>8.3802842663123184E-2</v>
      </c>
      <c r="E153" s="31">
        <f t="shared" si="23"/>
        <v>6.6011872785856603E-3</v>
      </c>
      <c r="F153" s="32">
        <f t="shared" si="24"/>
        <v>0.76771270328553387</v>
      </c>
      <c r="G153" s="33">
        <f t="shared" si="25"/>
        <v>60.832613695630279</v>
      </c>
      <c r="H153" s="34">
        <f t="shared" si="26"/>
        <v>3.8132244397749839</v>
      </c>
      <c r="I153" s="14">
        <f t="shared" si="19"/>
        <v>5.8192365089256522E-2</v>
      </c>
    </row>
    <row r="154" spans="2:9" ht="17" thickBot="1" x14ac:dyDescent="0.25">
      <c r="B154" s="30">
        <f t="shared" si="20"/>
        <v>4.5000000000000009</v>
      </c>
      <c r="C154" s="31">
        <f t="shared" si="21"/>
        <v>0.90794484282527854</v>
      </c>
      <c r="D154" s="31">
        <f t="shared" si="22"/>
        <v>8.52939356402901E-2</v>
      </c>
      <c r="E154" s="31">
        <f t="shared" si="23"/>
        <v>6.7612215344314231E-3</v>
      </c>
      <c r="F154" s="32">
        <f t="shared" si="24"/>
        <v>0.76389323710003376</v>
      </c>
      <c r="G154" s="33">
        <f t="shared" si="25"/>
        <v>61.124542872457397</v>
      </c>
      <c r="H154" s="34">
        <f t="shared" si="26"/>
        <v>3.7936419284767324</v>
      </c>
      <c r="I154" s="14">
        <f t="shared" si="19"/>
        <v>5.7797743757840282E-2</v>
      </c>
    </row>
    <row r="155" spans="2:9" ht="17" thickBot="1" x14ac:dyDescent="0.25">
      <c r="B155" s="30">
        <f t="shared" si="20"/>
        <v>4.5833333333333339</v>
      </c>
      <c r="C155" s="31">
        <f t="shared" si="21"/>
        <v>0.90629555531982109</v>
      </c>
      <c r="D155" s="31">
        <f t="shared" si="22"/>
        <v>8.6781616224970978E-2</v>
      </c>
      <c r="E155" s="31">
        <f t="shared" si="23"/>
        <v>6.9228284552079926E-3</v>
      </c>
      <c r="F155" s="32">
        <f t="shared" si="24"/>
        <v>0.76009277323386448</v>
      </c>
      <c r="G155" s="33">
        <f t="shared" si="25"/>
        <v>61.418126293424059</v>
      </c>
      <c r="H155" s="34">
        <f t="shared" si="26"/>
        <v>3.7741539067736158</v>
      </c>
      <c r="I155" s="14">
        <f t="shared" si="19"/>
        <v>5.7405725167714E-2</v>
      </c>
    </row>
    <row r="156" spans="2:9" ht="17" thickBot="1" x14ac:dyDescent="0.25">
      <c r="B156" s="30">
        <f t="shared" si="20"/>
        <v>4.666666666666667</v>
      </c>
      <c r="C156" s="31">
        <f t="shared" si="21"/>
        <v>0.90464809709801208</v>
      </c>
      <c r="D156" s="31">
        <f t="shared" si="22"/>
        <v>8.8265878745457327E-2</v>
      </c>
      <c r="E156" s="31">
        <f t="shared" si="23"/>
        <v>7.0860241565306294E-3</v>
      </c>
      <c r="F156" s="32">
        <f t="shared" si="24"/>
        <v>0.75631121714812588</v>
      </c>
      <c r="G156" s="33">
        <f t="shared" si="25"/>
        <v>61.713369750332717</v>
      </c>
      <c r="H156" s="34">
        <f t="shared" si="26"/>
        <v>3.7547598879677961</v>
      </c>
      <c r="I156" s="14">
        <f t="shared" si="19"/>
        <v>5.7016291950577787E-2</v>
      </c>
    </row>
    <row r="157" spans="2:9" ht="17" thickBot="1" x14ac:dyDescent="0.25">
      <c r="B157" s="30">
        <f t="shared" si="20"/>
        <v>4.75</v>
      </c>
      <c r="C157" s="31">
        <f t="shared" si="21"/>
        <v>0.90300245767907783</v>
      </c>
      <c r="D157" s="31">
        <f t="shared" si="22"/>
        <v>8.9746717407769822E-2</v>
      </c>
      <c r="E157" s="31">
        <f t="shared" si="23"/>
        <v>7.2508249131524195E-3</v>
      </c>
      <c r="F157" s="32">
        <f t="shared" si="24"/>
        <v>0.75254847477425479</v>
      </c>
      <c r="G157" s="33">
        <f t="shared" si="25"/>
        <v>62.010279018685644</v>
      </c>
      <c r="H157" s="34">
        <f t="shared" si="26"/>
        <v>3.7354593877250335</v>
      </c>
      <c r="I157" s="14">
        <f t="shared" si="19"/>
        <v>5.6629426853649467E-2</v>
      </c>
    </row>
    <row r="158" spans="2:9" ht="17" thickBot="1" x14ac:dyDescent="0.25">
      <c r="B158" s="30">
        <f t="shared" si="20"/>
        <v>4.833333333333333</v>
      </c>
      <c r="C158" s="31">
        <f t="shared" si="21"/>
        <v>0.90135862654508603</v>
      </c>
      <c r="D158" s="31">
        <f t="shared" si="22"/>
        <v>9.1224126294543267E-2</v>
      </c>
      <c r="E158" s="31">
        <f t="shared" si="23"/>
        <v>7.4172471603707749E-3</v>
      </c>
      <c r="F158" s="32">
        <f t="shared" si="24"/>
        <v>0.74880445251169647</v>
      </c>
      <c r="G158" s="33">
        <f t="shared" si="25"/>
        <v>62.30885985705342</v>
      </c>
      <c r="H158" s="34">
        <f t="shared" si="26"/>
        <v>3.7162519240631555</v>
      </c>
      <c r="I158" s="14">
        <f t="shared" si="19"/>
        <v>5.6245112738898984E-2</v>
      </c>
    </row>
    <row r="159" spans="2:9" ht="17" thickBot="1" x14ac:dyDescent="0.25">
      <c r="B159" s="30">
        <f t="shared" si="20"/>
        <v>4.9166666666666661</v>
      </c>
      <c r="C159" s="31">
        <f t="shared" si="21"/>
        <v>0.89971659314065366</v>
      </c>
      <c r="D159" s="31">
        <f t="shared" si="22"/>
        <v>9.2698099363903039E-2</v>
      </c>
      <c r="E159" s="31">
        <f t="shared" si="23"/>
        <v>7.5853074954433117E-3</v>
      </c>
      <c r="F159" s="32">
        <f t="shared" si="24"/>
        <v>0.74507905722556678</v>
      </c>
      <c r="G159" s="33">
        <f t="shared" si="25"/>
        <v>62.609118006429298</v>
      </c>
      <c r="H159" s="34">
        <f t="shared" si="26"/>
        <v>3.6971370173404794</v>
      </c>
      <c r="I159" s="14">
        <f t="shared" si="19"/>
        <v>5.5863332582286422E-2</v>
      </c>
    </row>
    <row r="160" spans="2:9" ht="17" thickBot="1" x14ac:dyDescent="0.25">
      <c r="B160" s="35">
        <f t="shared" si="20"/>
        <v>4.9999999999999991</v>
      </c>
      <c r="C160" s="36">
        <f t="shared" si="21"/>
        <v>0.89807634687265392</v>
      </c>
      <c r="D160" s="36">
        <f t="shared" si="22"/>
        <v>9.4168630448333013E-2</v>
      </c>
      <c r="E160" s="36">
        <f t="shared" si="23"/>
        <v>7.7550226790131039E-3</v>
      </c>
      <c r="F160" s="37">
        <f t="shared" si="24"/>
        <v>0.74137219624434503</v>
      </c>
      <c r="G160" s="38">
        <f t="shared" si="25"/>
        <v>62.911059189574495</v>
      </c>
      <c r="H160" s="39"/>
      <c r="I160" s="17"/>
    </row>
    <row r="161" spans="1:10" ht="17" thickBot="1" x14ac:dyDescent="0.25">
      <c r="B161" s="40"/>
      <c r="C161" s="41"/>
      <c r="D161" s="41"/>
      <c r="E161" s="41"/>
      <c r="F161" s="42"/>
      <c r="G161" s="43"/>
      <c r="H161" s="43"/>
      <c r="I161" s="42"/>
    </row>
    <row r="162" spans="1:10" ht="17" thickBot="1" x14ac:dyDescent="0.25">
      <c r="B162" s="130" t="s">
        <v>12</v>
      </c>
      <c r="C162" s="128">
        <f>SUM(G100:G160)</f>
        <v>3294.9593201970224</v>
      </c>
      <c r="D162" s="41"/>
      <c r="E162" s="41"/>
      <c r="F162" s="42"/>
      <c r="G162" s="43"/>
      <c r="H162" s="43"/>
      <c r="I162" s="42"/>
    </row>
    <row r="164" spans="1:10" x14ac:dyDescent="0.2">
      <c r="A164" s="6" t="s">
        <v>68</v>
      </c>
      <c r="B164" s="1"/>
      <c r="C164" s="1"/>
      <c r="D164" s="1"/>
      <c r="E164" s="1"/>
      <c r="F164" s="1"/>
      <c r="H164" s="46"/>
      <c r="I164" s="46"/>
    </row>
    <row r="165" spans="1:10" ht="17" thickBot="1" x14ac:dyDescent="0.25">
      <c r="A165" s="44"/>
    </row>
    <row r="166" spans="1:10" ht="17" thickBot="1" x14ac:dyDescent="0.25">
      <c r="A166" s="2" t="s">
        <v>17</v>
      </c>
      <c r="B166" s="129" t="s">
        <v>13</v>
      </c>
      <c r="C166" s="128">
        <f>(C162+SUM(H100:H159))/SUM(I100:I159)/12</f>
        <v>81.934921350306013</v>
      </c>
    </row>
    <row r="168" spans="1:10" ht="15.5" customHeight="1" x14ac:dyDescent="0.2">
      <c r="A168" s="6" t="s">
        <v>69</v>
      </c>
      <c r="B168" s="6"/>
      <c r="C168" s="6"/>
      <c r="D168" s="6"/>
      <c r="E168" s="6"/>
      <c r="F168" s="6"/>
      <c r="G168" s="6"/>
      <c r="H168" s="6"/>
      <c r="I168" s="6"/>
      <c r="J168" s="6"/>
    </row>
    <row r="169" spans="1:10" x14ac:dyDescent="0.2">
      <c r="A169" s="44"/>
    </row>
    <row r="170" spans="1:10" x14ac:dyDescent="0.2">
      <c r="A170" s="6" t="s">
        <v>70</v>
      </c>
      <c r="B170" s="1"/>
      <c r="C170" s="1"/>
      <c r="D170" s="1"/>
      <c r="E170" s="1"/>
      <c r="F170" s="1"/>
      <c r="G170" s="1"/>
      <c r="H170" s="1"/>
    </row>
    <row r="171" spans="1:10" ht="17" thickBot="1" x14ac:dyDescent="0.25"/>
    <row r="172" spans="1:10" ht="15.5" customHeight="1" x14ac:dyDescent="0.2">
      <c r="A172" s="2" t="s">
        <v>17</v>
      </c>
      <c r="B172" s="136" t="s">
        <v>14</v>
      </c>
      <c r="C172" s="137"/>
      <c r="D172" s="137"/>
      <c r="E172" s="137"/>
      <c r="F172" s="137"/>
      <c r="G172" s="137"/>
      <c r="H172" s="137"/>
      <c r="I172" s="137"/>
      <c r="J172" s="138"/>
    </row>
    <row r="173" spans="1:10" ht="17" thickBot="1" x14ac:dyDescent="0.25">
      <c r="B173" s="139"/>
      <c r="C173" s="140"/>
      <c r="D173" s="140"/>
      <c r="E173" s="140"/>
      <c r="F173" s="140"/>
      <c r="G173" s="140"/>
      <c r="H173" s="140"/>
      <c r="I173" s="140"/>
      <c r="J173" s="141"/>
    </row>
    <row r="174" spans="1:10" ht="17" thickBot="1" x14ac:dyDescent="0.25">
      <c r="B174" s="47"/>
      <c r="C174" s="47"/>
      <c r="D174" s="47"/>
      <c r="E174" s="47"/>
      <c r="F174" s="47"/>
      <c r="G174" s="47"/>
      <c r="H174" s="47"/>
      <c r="I174" s="47"/>
      <c r="J174" s="47"/>
    </row>
    <row r="175" spans="1:10" ht="15.5" customHeight="1" x14ac:dyDescent="0.2">
      <c r="B175" s="136" t="s">
        <v>15</v>
      </c>
      <c r="C175" s="137"/>
      <c r="D175" s="137"/>
      <c r="E175" s="137"/>
      <c r="F175" s="137"/>
      <c r="G175" s="137"/>
      <c r="H175" s="137"/>
      <c r="I175" s="137"/>
      <c r="J175" s="138"/>
    </row>
    <row r="176" spans="1:10" ht="17" thickBot="1" x14ac:dyDescent="0.25">
      <c r="B176" s="139"/>
      <c r="C176" s="140"/>
      <c r="D176" s="140"/>
      <c r="E176" s="140"/>
      <c r="F176" s="140"/>
      <c r="G176" s="140"/>
      <c r="H176" s="140"/>
      <c r="I176" s="140"/>
      <c r="J176" s="141"/>
    </row>
    <row r="177" spans="2:10" x14ac:dyDescent="0.2">
      <c r="B177" s="45"/>
      <c r="C177" s="45"/>
      <c r="D177" s="45"/>
      <c r="E177" s="45"/>
      <c r="F177" s="45"/>
      <c r="G177" s="45"/>
      <c r="H177" s="45"/>
      <c r="I177" s="45"/>
      <c r="J177" s="45"/>
    </row>
  </sheetData>
  <mergeCells count="4">
    <mergeCell ref="A4:J5"/>
    <mergeCell ref="A89:J91"/>
    <mergeCell ref="B172:J173"/>
    <mergeCell ref="B175:J176"/>
  </mergeCells>
  <pageMargins left="0.7" right="0.7" top="0.75" bottom="0.75" header="0.3" footer="0.3"/>
  <pageSetup scale="65" fitToHeight="10"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97950-462C-9748-981B-FA51B5922C70}">
  <dimension ref="A1:P89"/>
  <sheetViews>
    <sheetView zoomScale="120" zoomScaleNormal="120" workbookViewId="0">
      <selection activeCell="B13" sqref="B13"/>
    </sheetView>
  </sheetViews>
  <sheetFormatPr baseColWidth="10" defaultColWidth="11" defaultRowHeight="16" x14ac:dyDescent="0.2"/>
  <cols>
    <col min="1" max="1" width="11" style="2"/>
    <col min="2" max="2" width="19.5" style="2" bestFit="1" customWidth="1"/>
    <col min="3" max="3" width="11" style="2"/>
    <col min="4" max="4" width="11.83203125" style="2" customWidth="1"/>
    <col min="5" max="6" width="11" style="2"/>
    <col min="7" max="7" width="15" style="2" bestFit="1" customWidth="1"/>
    <col min="8" max="16384" width="11" style="2"/>
  </cols>
  <sheetData>
    <row r="1" spans="1:10" x14ac:dyDescent="0.2">
      <c r="A1" s="3" t="s">
        <v>5</v>
      </c>
      <c r="B1" s="1"/>
      <c r="C1" s="1"/>
      <c r="D1" s="1"/>
      <c r="E1" s="1"/>
    </row>
    <row r="2" spans="1:10" x14ac:dyDescent="0.2">
      <c r="A2" s="1" t="s">
        <v>56</v>
      </c>
      <c r="B2" s="1"/>
      <c r="C2" s="1"/>
      <c r="D2" s="1"/>
      <c r="E2" s="1"/>
    </row>
    <row r="3" spans="1:10" x14ac:dyDescent="0.2">
      <c r="A3" s="3" t="s">
        <v>57</v>
      </c>
      <c r="B3" s="1"/>
      <c r="C3" s="1"/>
      <c r="D3" s="1"/>
      <c r="E3" s="1"/>
    </row>
    <row r="4" spans="1:10" x14ac:dyDescent="0.2">
      <c r="A4" s="145" t="s">
        <v>58</v>
      </c>
      <c r="B4" s="145"/>
      <c r="C4" s="145"/>
      <c r="D4" s="145"/>
      <c r="E4" s="145"/>
      <c r="F4" s="145"/>
      <c r="G4" s="145"/>
      <c r="H4" s="145"/>
      <c r="I4" s="145"/>
      <c r="J4" s="145"/>
    </row>
    <row r="5" spans="1:10" x14ac:dyDescent="0.2">
      <c r="A5" s="145"/>
      <c r="B5" s="145"/>
      <c r="C5" s="145"/>
      <c r="D5" s="145"/>
      <c r="E5" s="145"/>
      <c r="F5" s="145"/>
      <c r="G5" s="145"/>
      <c r="H5" s="145"/>
      <c r="I5" s="145"/>
      <c r="J5" s="145"/>
    </row>
    <row r="7" spans="1:10" x14ac:dyDescent="0.2">
      <c r="A7" s="1" t="s">
        <v>19</v>
      </c>
      <c r="B7" s="1"/>
      <c r="C7" s="1"/>
      <c r="D7" s="1"/>
      <c r="E7" s="1"/>
      <c r="F7" s="1"/>
      <c r="G7" s="1"/>
      <c r="H7" s="1"/>
      <c r="I7" s="1"/>
      <c r="J7" s="1"/>
    </row>
    <row r="8" spans="1:10" x14ac:dyDescent="0.2">
      <c r="A8" s="90" t="s">
        <v>20</v>
      </c>
      <c r="B8" s="1" t="s">
        <v>21</v>
      </c>
      <c r="C8" s="1"/>
      <c r="D8" s="1"/>
      <c r="E8" s="1"/>
      <c r="F8" s="1"/>
      <c r="G8" s="1"/>
      <c r="H8" s="1"/>
      <c r="I8" s="1"/>
      <c r="J8" s="1"/>
    </row>
    <row r="9" spans="1:10" x14ac:dyDescent="0.2">
      <c r="A9" s="90" t="s">
        <v>22</v>
      </c>
      <c r="B9" s="1" t="s">
        <v>23</v>
      </c>
      <c r="C9" s="1"/>
      <c r="D9" s="1"/>
      <c r="E9" s="1"/>
      <c r="F9" s="1"/>
      <c r="G9" s="1"/>
      <c r="H9" s="1"/>
      <c r="I9" s="1"/>
      <c r="J9" s="1"/>
    </row>
    <row r="10" spans="1:10" x14ac:dyDescent="0.2">
      <c r="A10" s="90" t="s">
        <v>24</v>
      </c>
      <c r="B10" s="1" t="s">
        <v>25</v>
      </c>
      <c r="C10" s="1"/>
      <c r="D10" s="1"/>
      <c r="E10" s="1"/>
      <c r="F10" s="1"/>
      <c r="G10" s="1"/>
      <c r="H10" s="1"/>
      <c r="I10" s="1"/>
      <c r="J10" s="1"/>
    </row>
    <row r="11" spans="1:10" x14ac:dyDescent="0.2">
      <c r="A11" s="90" t="s">
        <v>26</v>
      </c>
      <c r="B11" s="1" t="s">
        <v>82</v>
      </c>
      <c r="C11" s="1"/>
      <c r="D11" s="1"/>
      <c r="E11" s="1"/>
      <c r="F11" s="1"/>
      <c r="G11" s="1"/>
      <c r="H11" s="1"/>
      <c r="I11" s="1"/>
      <c r="J11" s="1"/>
    </row>
    <row r="12" spans="1:10" x14ac:dyDescent="0.2">
      <c r="A12" s="90" t="s">
        <v>27</v>
      </c>
      <c r="B12" s="1" t="s">
        <v>28</v>
      </c>
      <c r="C12" s="1"/>
      <c r="D12" s="1"/>
      <c r="E12" s="1"/>
      <c r="F12" s="1"/>
      <c r="G12" s="1"/>
      <c r="H12" s="1"/>
      <c r="I12" s="1"/>
      <c r="J12" s="1"/>
    </row>
    <row r="13" spans="1:10" x14ac:dyDescent="0.2">
      <c r="A13" s="90" t="s">
        <v>29</v>
      </c>
      <c r="B13" s="1" t="s">
        <v>30</v>
      </c>
      <c r="C13" s="1"/>
      <c r="D13" s="1"/>
      <c r="E13" s="1"/>
      <c r="F13" s="1"/>
      <c r="G13" s="1"/>
      <c r="H13" s="1"/>
      <c r="I13" s="1"/>
      <c r="J13" s="1"/>
    </row>
    <row r="14" spans="1:10" x14ac:dyDescent="0.2">
      <c r="A14" s="90" t="s">
        <v>31</v>
      </c>
      <c r="B14" s="1" t="s">
        <v>32</v>
      </c>
      <c r="C14" s="1"/>
      <c r="D14" s="1"/>
      <c r="E14" s="1"/>
      <c r="F14" s="1"/>
      <c r="G14" s="1"/>
      <c r="H14" s="1"/>
      <c r="I14" s="1"/>
      <c r="J14" s="1"/>
    </row>
    <row r="15" spans="1:10" x14ac:dyDescent="0.2">
      <c r="A15" s="90" t="s">
        <v>33</v>
      </c>
      <c r="B15" s="1" t="s">
        <v>34</v>
      </c>
      <c r="C15" s="1"/>
      <c r="D15" s="1"/>
      <c r="E15" s="1"/>
      <c r="F15" s="1"/>
      <c r="G15" s="1"/>
      <c r="H15" s="1"/>
      <c r="I15" s="1"/>
      <c r="J15" s="1"/>
    </row>
    <row r="17" spans="1:16" x14ac:dyDescent="0.2">
      <c r="A17" s="90" t="s">
        <v>35</v>
      </c>
      <c r="B17" s="1"/>
      <c r="C17" s="1"/>
      <c r="D17" s="1"/>
      <c r="E17" s="1"/>
      <c r="F17" s="1"/>
      <c r="G17" s="1"/>
      <c r="H17" s="1"/>
      <c r="I17" s="1"/>
      <c r="J17" s="1"/>
    </row>
    <row r="18" spans="1:16" x14ac:dyDescent="0.2">
      <c r="A18" s="90" t="s">
        <v>36</v>
      </c>
      <c r="B18" s="147" t="s">
        <v>79</v>
      </c>
      <c r="C18" s="147"/>
      <c r="D18" s="147"/>
      <c r="E18" s="147"/>
      <c r="F18" s="147"/>
      <c r="G18" s="147"/>
      <c r="H18" s="147"/>
      <c r="I18" s="147"/>
      <c r="J18" s="147"/>
    </row>
    <row r="19" spans="1:16" x14ac:dyDescent="0.2">
      <c r="A19" s="90" t="s">
        <v>37</v>
      </c>
      <c r="B19" s="147" t="s">
        <v>80</v>
      </c>
      <c r="C19" s="147"/>
      <c r="D19" s="147"/>
      <c r="E19" s="147"/>
      <c r="F19" s="147"/>
      <c r="G19" s="147"/>
      <c r="H19" s="147"/>
      <c r="I19" s="147"/>
      <c r="J19" s="147"/>
    </row>
    <row r="20" spans="1:16" ht="17" thickBot="1" x14ac:dyDescent="0.25"/>
    <row r="21" spans="1:16" ht="52" thickBot="1" x14ac:dyDescent="0.25">
      <c r="B21" s="48" t="s">
        <v>71</v>
      </c>
      <c r="C21" s="49">
        <v>0.05</v>
      </c>
      <c r="D21" s="48" t="s">
        <v>72</v>
      </c>
      <c r="E21" s="49">
        <v>0.12</v>
      </c>
      <c r="F21" s="48" t="s">
        <v>73</v>
      </c>
      <c r="G21" s="50">
        <v>0.06</v>
      </c>
      <c r="H21" s="48" t="s">
        <v>74</v>
      </c>
      <c r="I21" s="49">
        <v>2.5000000000000001E-2</v>
      </c>
    </row>
    <row r="22" spans="1:16" ht="17" thickBot="1" x14ac:dyDescent="0.25"/>
    <row r="23" spans="1:16" ht="52" thickBot="1" x14ac:dyDescent="0.25">
      <c r="B23" s="51" t="s">
        <v>0</v>
      </c>
      <c r="C23" s="52" t="s">
        <v>38</v>
      </c>
      <c r="D23" s="51" t="s">
        <v>39</v>
      </c>
      <c r="E23" s="53" t="s">
        <v>4</v>
      </c>
      <c r="F23" s="51" t="s">
        <v>40</v>
      </c>
      <c r="G23" s="53" t="s">
        <v>41</v>
      </c>
      <c r="H23" s="51" t="s">
        <v>42</v>
      </c>
      <c r="I23" s="51" t="s">
        <v>43</v>
      </c>
      <c r="J23" s="51" t="s">
        <v>44</v>
      </c>
      <c r="L23" s="142" t="s">
        <v>45</v>
      </c>
      <c r="M23" s="143"/>
      <c r="N23" s="143"/>
      <c r="O23" s="144"/>
      <c r="P23" s="54" t="s">
        <v>46</v>
      </c>
    </row>
    <row r="24" spans="1:16" ht="18" x14ac:dyDescent="0.2">
      <c r="B24" s="55">
        <v>0</v>
      </c>
      <c r="C24" s="56"/>
      <c r="D24" s="57"/>
      <c r="E24" s="58">
        <v>300</v>
      </c>
      <c r="F24" s="59"/>
      <c r="G24" s="58"/>
      <c r="H24" s="59"/>
      <c r="I24" s="91">
        <f>C24+D24-E24+F24-G24-H24</f>
        <v>-300</v>
      </c>
      <c r="J24" s="92">
        <f>I24</f>
        <v>-300</v>
      </c>
      <c r="L24" s="60" t="s">
        <v>47</v>
      </c>
      <c r="M24" s="61" t="s">
        <v>75</v>
      </c>
      <c r="N24" s="62" t="s">
        <v>76</v>
      </c>
      <c r="O24" s="63" t="s">
        <v>77</v>
      </c>
      <c r="P24" s="64" t="s">
        <v>78</v>
      </c>
    </row>
    <row r="25" spans="1:16" x14ac:dyDescent="0.2">
      <c r="B25" s="65">
        <v>1</v>
      </c>
      <c r="C25" s="66"/>
      <c r="D25" s="67">
        <v>3000</v>
      </c>
      <c r="E25" s="68">
        <f t="shared" ref="E25:E44" si="0">D25*Pr_exp+100*(1+i_j)^B24</f>
        <v>250</v>
      </c>
      <c r="F25" s="69">
        <f t="shared" ref="F25:F44" si="1">i_t*(C25+D25-E25)</f>
        <v>165</v>
      </c>
      <c r="G25" s="68">
        <f>100000*M25</f>
        <v>1041.332696314734</v>
      </c>
      <c r="H25" s="69">
        <f>(1-M25)*(1-N25)*C26</f>
        <v>940.10733938501005</v>
      </c>
      <c r="I25" s="91">
        <f>C25+D25-E25+F25-G25-H25</f>
        <v>933.55996430025596</v>
      </c>
      <c r="J25" s="91">
        <f>I25*O25</f>
        <v>933.55996430025596</v>
      </c>
      <c r="L25" s="93">
        <v>70</v>
      </c>
      <c r="M25" s="70">
        <v>1.041332696314734E-2</v>
      </c>
      <c r="N25" s="71">
        <v>0.05</v>
      </c>
      <c r="O25" s="72">
        <f>1</f>
        <v>1</v>
      </c>
      <c r="P25" s="73">
        <f t="shared" ref="P25:P44" si="2">(1+i_h)^(-B25)</f>
        <v>0.89285714285714279</v>
      </c>
    </row>
    <row r="26" spans="1:16" x14ac:dyDescent="0.2">
      <c r="B26" s="65">
        <v>2</v>
      </c>
      <c r="C26" s="66">
        <v>1000</v>
      </c>
      <c r="D26" s="67">
        <f>D25</f>
        <v>3000</v>
      </c>
      <c r="E26" s="68">
        <f t="shared" si="0"/>
        <v>252.5</v>
      </c>
      <c r="F26" s="69">
        <f t="shared" si="1"/>
        <v>224.85</v>
      </c>
      <c r="G26" s="68">
        <f t="shared" ref="G26:G44" si="3">100000*M26</f>
        <v>1167.0038358202683</v>
      </c>
      <c r="H26" s="69">
        <f t="shared" ref="H26:H43" si="4">(1-M26)*(1-N26)*C27</f>
        <v>1408.3701953395612</v>
      </c>
      <c r="I26" s="91">
        <f t="shared" ref="I26:I44" si="5">C26+D26-E26+F26-G26-H26</f>
        <v>1396.9759688401705</v>
      </c>
      <c r="J26" s="91">
        <f t="shared" ref="J26:J44" si="6">I26*O26</f>
        <v>1313.3073612511294</v>
      </c>
      <c r="L26" s="93">
        <f t="shared" ref="L26:L44" si="7">L25+1</f>
        <v>71</v>
      </c>
      <c r="M26" s="70">
        <v>1.1670038358202683E-2</v>
      </c>
      <c r="N26" s="71">
        <v>0.05</v>
      </c>
      <c r="O26" s="72">
        <f>O25*(1-M25)*(1-N25)</f>
        <v>0.94010733938501001</v>
      </c>
      <c r="P26" s="73">
        <f t="shared" si="2"/>
        <v>0.79719387755102034</v>
      </c>
    </row>
    <row r="27" spans="1:16" x14ac:dyDescent="0.2">
      <c r="B27" s="65">
        <v>3</v>
      </c>
      <c r="C27" s="66">
        <v>1500</v>
      </c>
      <c r="D27" s="67">
        <f t="shared" ref="D27:D44" si="8">D26</f>
        <v>3000</v>
      </c>
      <c r="E27" s="68">
        <f t="shared" si="0"/>
        <v>255.0625</v>
      </c>
      <c r="F27" s="69">
        <f t="shared" si="1"/>
        <v>254.69624999999999</v>
      </c>
      <c r="G27" s="68">
        <f t="shared" si="3"/>
        <v>1308.0677008737164</v>
      </c>
      <c r="H27" s="69">
        <f t="shared" si="4"/>
        <v>1875.1467136833992</v>
      </c>
      <c r="I27" s="91">
        <f t="shared" si="5"/>
        <v>1316.4193354428842</v>
      </c>
      <c r="J27" s="91">
        <f t="shared" si="6"/>
        <v>1161.9762793652008</v>
      </c>
      <c r="L27" s="93">
        <f t="shared" si="7"/>
        <v>72</v>
      </c>
      <c r="M27" s="70">
        <v>1.3080677008737163E-2</v>
      </c>
      <c r="N27" s="71">
        <v>0.05</v>
      </c>
      <c r="O27" s="72">
        <f t="shared" ref="O27:O44" si="9">O26*(1-M26)*(1-N26)</f>
        <v>0.88267943813988115</v>
      </c>
      <c r="P27" s="73">
        <f t="shared" si="2"/>
        <v>0.71178024781341087</v>
      </c>
    </row>
    <row r="28" spans="1:16" x14ac:dyDescent="0.2">
      <c r="B28" s="65">
        <v>4</v>
      </c>
      <c r="C28" s="66">
        <v>2000</v>
      </c>
      <c r="D28" s="67">
        <f t="shared" si="8"/>
        <v>3000</v>
      </c>
      <c r="E28" s="68">
        <f t="shared" si="0"/>
        <v>257.68906249999998</v>
      </c>
      <c r="F28" s="69">
        <f t="shared" si="1"/>
        <v>284.53865625000003</v>
      </c>
      <c r="G28" s="68">
        <f t="shared" si="3"/>
        <v>1466.3831624937006</v>
      </c>
      <c r="H28" s="69">
        <f t="shared" si="4"/>
        <v>2340.1733998907744</v>
      </c>
      <c r="I28" s="91">
        <f t="shared" si="5"/>
        <v>1220.2930313655252</v>
      </c>
      <c r="J28" s="91">
        <f t="shared" si="6"/>
        <v>1009.886109012445</v>
      </c>
      <c r="L28" s="93">
        <f t="shared" si="7"/>
        <v>73</v>
      </c>
      <c r="M28" s="70">
        <v>1.4663831624937007E-2</v>
      </c>
      <c r="N28" s="71">
        <v>0.05</v>
      </c>
      <c r="O28" s="72">
        <f t="shared" si="9"/>
        <v>0.8275767238319538</v>
      </c>
      <c r="P28" s="73">
        <f t="shared" si="2"/>
        <v>0.63551807840483121</v>
      </c>
    </row>
    <row r="29" spans="1:16" x14ac:dyDescent="0.2">
      <c r="B29" s="65">
        <v>5</v>
      </c>
      <c r="C29" s="66">
        <v>2500</v>
      </c>
      <c r="D29" s="67">
        <f t="shared" si="8"/>
        <v>3000</v>
      </c>
      <c r="E29" s="68">
        <f t="shared" si="0"/>
        <v>260.38128906249995</v>
      </c>
      <c r="F29" s="69">
        <f t="shared" si="1"/>
        <v>314.37712265625004</v>
      </c>
      <c r="G29" s="68">
        <f t="shared" si="3"/>
        <v>1644.0266126718006</v>
      </c>
      <c r="H29" s="69">
        <f t="shared" si="4"/>
        <v>2803.1452415388535</v>
      </c>
      <c r="I29" s="91">
        <f t="shared" si="5"/>
        <v>1106.8239793830967</v>
      </c>
      <c r="J29" s="91">
        <f t="shared" si="6"/>
        <v>857.42246235769505</v>
      </c>
      <c r="L29" s="93">
        <f t="shared" si="7"/>
        <v>74</v>
      </c>
      <c r="M29" s="70">
        <v>1.6440266126718006E-2</v>
      </c>
      <c r="N29" s="71">
        <v>0.05</v>
      </c>
      <c r="O29" s="72">
        <f t="shared" si="9"/>
        <v>0.77466921419211665</v>
      </c>
      <c r="P29" s="73">
        <f t="shared" si="2"/>
        <v>0.56742685571859919</v>
      </c>
    </row>
    <row r="30" spans="1:16" x14ac:dyDescent="0.2">
      <c r="B30" s="65">
        <v>6</v>
      </c>
      <c r="C30" s="66">
        <v>3000</v>
      </c>
      <c r="D30" s="67">
        <f t="shared" si="8"/>
        <v>3000</v>
      </c>
      <c r="E30" s="68">
        <f t="shared" si="0"/>
        <v>263.1408212890625</v>
      </c>
      <c r="F30" s="69">
        <f t="shared" si="1"/>
        <v>344.21155072265623</v>
      </c>
      <c r="G30" s="68">
        <f t="shared" si="3"/>
        <v>1843.3155787278888</v>
      </c>
      <c r="H30" s="69">
        <f t="shared" si="4"/>
        <v>3263.7097570072974</v>
      </c>
      <c r="I30" s="91">
        <f t="shared" si="5"/>
        <v>974.04539369840768</v>
      </c>
      <c r="J30" s="91">
        <f t="shared" si="6"/>
        <v>705.04987535137934</v>
      </c>
      <c r="L30" s="93">
        <f t="shared" si="7"/>
        <v>75</v>
      </c>
      <c r="M30" s="70">
        <v>1.8433155787278888E-2</v>
      </c>
      <c r="N30" s="71">
        <v>0.05</v>
      </c>
      <c r="O30" s="72">
        <f t="shared" si="9"/>
        <v>0.72383677384309153</v>
      </c>
      <c r="P30" s="73">
        <f t="shared" si="2"/>
        <v>0.50663112117732068</v>
      </c>
    </row>
    <row r="31" spans="1:16" x14ac:dyDescent="0.2">
      <c r="B31" s="65">
        <v>7</v>
      </c>
      <c r="C31" s="66">
        <v>3500</v>
      </c>
      <c r="D31" s="67">
        <f t="shared" si="8"/>
        <v>3000</v>
      </c>
      <c r="E31" s="68">
        <f t="shared" si="0"/>
        <v>265.96934182128905</v>
      </c>
      <c r="F31" s="69">
        <f t="shared" si="1"/>
        <v>374.04183949072262</v>
      </c>
      <c r="G31" s="68">
        <f t="shared" si="3"/>
        <v>2066.8344063542563</v>
      </c>
      <c r="H31" s="69">
        <f t="shared" si="4"/>
        <v>3721.4602925585382</v>
      </c>
      <c r="I31" s="91">
        <f t="shared" si="5"/>
        <v>819.77779875663919</v>
      </c>
      <c r="J31" s="91">
        <f t="shared" si="6"/>
        <v>553.32498547144451</v>
      </c>
      <c r="L31" s="93">
        <f t="shared" si="7"/>
        <v>76</v>
      </c>
      <c r="M31" s="70">
        <v>2.0668344063542565E-2</v>
      </c>
      <c r="N31" s="71">
        <v>0.05</v>
      </c>
      <c r="O31" s="72">
        <f t="shared" si="9"/>
        <v>0.67496946893496634</v>
      </c>
      <c r="P31" s="73">
        <f t="shared" si="2"/>
        <v>0.45234921533689343</v>
      </c>
    </row>
    <row r="32" spans="1:16" x14ac:dyDescent="0.2">
      <c r="B32" s="65">
        <v>8</v>
      </c>
      <c r="C32" s="66">
        <v>4000</v>
      </c>
      <c r="D32" s="67">
        <f t="shared" si="8"/>
        <v>3000</v>
      </c>
      <c r="E32" s="68">
        <f t="shared" si="0"/>
        <v>268.86857536682123</v>
      </c>
      <c r="F32" s="69">
        <f t="shared" si="1"/>
        <v>403.86788547799068</v>
      </c>
      <c r="G32" s="68">
        <f t="shared" si="3"/>
        <v>2317.4620518370934</v>
      </c>
      <c r="H32" s="69">
        <f t="shared" si="4"/>
        <v>4175.9284972839641</v>
      </c>
      <c r="I32" s="91">
        <f t="shared" si="5"/>
        <v>641.60876099011239</v>
      </c>
      <c r="J32" s="91">
        <f t="shared" si="6"/>
        <v>402.90978282546877</v>
      </c>
      <c r="L32" s="93">
        <f t="shared" si="7"/>
        <v>77</v>
      </c>
      <c r="M32" s="70">
        <v>2.3174620518370936E-2</v>
      </c>
      <c r="N32" s="71">
        <v>0.05</v>
      </c>
      <c r="O32" s="72">
        <f t="shared" si="9"/>
        <v>0.6279680193327003</v>
      </c>
      <c r="P32" s="73">
        <f t="shared" si="2"/>
        <v>0.4038832279793691</v>
      </c>
    </row>
    <row r="33" spans="1:16" x14ac:dyDescent="0.2">
      <c r="B33" s="65">
        <v>9</v>
      </c>
      <c r="C33" s="66">
        <v>4500</v>
      </c>
      <c r="D33" s="67">
        <f t="shared" si="8"/>
        <v>3000</v>
      </c>
      <c r="E33" s="68">
        <f t="shared" si="0"/>
        <v>271.84028975099176</v>
      </c>
      <c r="F33" s="69">
        <f t="shared" si="1"/>
        <v>433.68958261494049</v>
      </c>
      <c r="G33" s="68">
        <f t="shared" si="3"/>
        <v>2598.4019763202637</v>
      </c>
      <c r="H33" s="69">
        <f t="shared" si="4"/>
        <v>4626.5759061247873</v>
      </c>
      <c r="I33" s="91">
        <f t="shared" si="5"/>
        <v>436.87141041889754</v>
      </c>
      <c r="J33" s="91">
        <f t="shared" si="6"/>
        <v>254.58434341035448</v>
      </c>
      <c r="L33" s="93">
        <f t="shared" si="7"/>
        <v>78</v>
      </c>
      <c r="M33" s="70">
        <v>2.5984019763202637E-2</v>
      </c>
      <c r="N33" s="71">
        <v>0.05</v>
      </c>
      <c r="O33" s="72">
        <f t="shared" si="9"/>
        <v>0.58274434384764229</v>
      </c>
      <c r="P33" s="73">
        <f t="shared" si="2"/>
        <v>0.36061002498157957</v>
      </c>
    </row>
    <row r="34" spans="1:16" x14ac:dyDescent="0.2">
      <c r="B34" s="65">
        <v>10</v>
      </c>
      <c r="C34" s="66">
        <v>5000</v>
      </c>
      <c r="D34" s="67">
        <f t="shared" si="8"/>
        <v>3000</v>
      </c>
      <c r="E34" s="68">
        <f t="shared" si="0"/>
        <v>274.88629699476655</v>
      </c>
      <c r="F34" s="69">
        <f t="shared" si="1"/>
        <v>463.50682218031397</v>
      </c>
      <c r="G34" s="68">
        <f t="shared" si="3"/>
        <v>2913.2140693127417</v>
      </c>
      <c r="H34" s="69">
        <f t="shared" si="4"/>
        <v>5072.7845648784087</v>
      </c>
      <c r="I34" s="91">
        <f t="shared" si="5"/>
        <v>202.62189099439729</v>
      </c>
      <c r="J34" s="91">
        <f t="shared" si="6"/>
        <v>109.25821942609088</v>
      </c>
      <c r="L34" s="93">
        <f t="shared" si="7"/>
        <v>79</v>
      </c>
      <c r="M34" s="70">
        <v>2.9132140693127417E-2</v>
      </c>
      <c r="N34" s="71">
        <v>0.05</v>
      </c>
      <c r="O34" s="72">
        <f t="shared" si="9"/>
        <v>0.53922218813519995</v>
      </c>
      <c r="P34" s="73">
        <f t="shared" si="2"/>
        <v>0.32197323659069599</v>
      </c>
    </row>
    <row r="35" spans="1:16" x14ac:dyDescent="0.2">
      <c r="B35" s="65">
        <v>11</v>
      </c>
      <c r="C35" s="66">
        <v>5500</v>
      </c>
      <c r="D35" s="67">
        <f t="shared" si="8"/>
        <v>3000</v>
      </c>
      <c r="E35" s="68">
        <f t="shared" si="0"/>
        <v>278.00845441963571</v>
      </c>
      <c r="F35" s="69">
        <f t="shared" si="1"/>
        <v>493.31949273482184</v>
      </c>
      <c r="G35" s="68">
        <f t="shared" si="3"/>
        <v>3265.8484402023237</v>
      </c>
      <c r="H35" s="69">
        <f t="shared" si="4"/>
        <v>5804.0490935878606</v>
      </c>
      <c r="I35" s="91">
        <f t="shared" si="5"/>
        <v>-354.58649547499954</v>
      </c>
      <c r="J35" s="91">
        <f t="shared" si="6"/>
        <v>-176.34927356576827</v>
      </c>
      <c r="L35" s="93">
        <f t="shared" si="7"/>
        <v>80</v>
      </c>
      <c r="M35" s="70">
        <v>3.2658484402023236E-2</v>
      </c>
      <c r="N35" s="71">
        <v>0</v>
      </c>
      <c r="O35" s="72">
        <f t="shared" si="9"/>
        <v>0.49733781691130974</v>
      </c>
      <c r="P35" s="73">
        <f t="shared" si="2"/>
        <v>0.28747610409883567</v>
      </c>
    </row>
    <row r="36" spans="1:16" x14ac:dyDescent="0.2">
      <c r="B36" s="65">
        <v>12</v>
      </c>
      <c r="C36" s="66">
        <v>6000</v>
      </c>
      <c r="D36" s="67">
        <f t="shared" si="8"/>
        <v>3000</v>
      </c>
      <c r="E36" s="68">
        <f t="shared" si="0"/>
        <v>281.20866578012658</v>
      </c>
      <c r="F36" s="69">
        <f t="shared" si="1"/>
        <v>523.12748005319236</v>
      </c>
      <c r="G36" s="68">
        <f t="shared" si="3"/>
        <v>3660.6807996160228</v>
      </c>
      <c r="H36" s="69">
        <f t="shared" si="4"/>
        <v>5780.3591520230384</v>
      </c>
      <c r="I36" s="91">
        <f t="shared" si="5"/>
        <v>-199.12113736599531</v>
      </c>
      <c r="J36" s="91">
        <f t="shared" si="6"/>
        <v>-95.796286641251115</v>
      </c>
      <c r="L36" s="93">
        <f t="shared" si="7"/>
        <v>81</v>
      </c>
      <c r="M36" s="70">
        <v>3.6606807996160229E-2</v>
      </c>
      <c r="N36" s="71">
        <v>0</v>
      </c>
      <c r="O36" s="72">
        <f t="shared" si="9"/>
        <v>0.48109551757517544</v>
      </c>
      <c r="P36" s="73">
        <f t="shared" si="2"/>
        <v>0.25667509294538904</v>
      </c>
    </row>
    <row r="37" spans="1:16" x14ac:dyDescent="0.2">
      <c r="B37" s="65">
        <v>13</v>
      </c>
      <c r="C37" s="66">
        <v>6000</v>
      </c>
      <c r="D37" s="67">
        <f t="shared" si="8"/>
        <v>3000</v>
      </c>
      <c r="E37" s="68">
        <f t="shared" si="0"/>
        <v>284.48888242462976</v>
      </c>
      <c r="F37" s="69">
        <f t="shared" si="1"/>
        <v>522.93066705452213</v>
      </c>
      <c r="G37" s="68">
        <f t="shared" si="3"/>
        <v>4102.5490002634779</v>
      </c>
      <c r="H37" s="69">
        <f t="shared" si="4"/>
        <v>5753.8470599841912</v>
      </c>
      <c r="I37" s="91">
        <f t="shared" si="5"/>
        <v>-617.95427561777615</v>
      </c>
      <c r="J37" s="91">
        <f t="shared" si="6"/>
        <v>-286.41200990906964</v>
      </c>
      <c r="L37" s="93">
        <f t="shared" si="7"/>
        <v>82</v>
      </c>
      <c r="M37" s="70">
        <v>4.1025490002634779E-2</v>
      </c>
      <c r="N37" s="71">
        <v>0</v>
      </c>
      <c r="O37" s="72">
        <f t="shared" si="9"/>
        <v>0.46348414633548768</v>
      </c>
      <c r="P37" s="73">
        <f t="shared" si="2"/>
        <v>0.22917419012981158</v>
      </c>
    </row>
    <row r="38" spans="1:16" x14ac:dyDescent="0.2">
      <c r="B38" s="65">
        <v>14</v>
      </c>
      <c r="C38" s="66">
        <v>6000</v>
      </c>
      <c r="D38" s="67">
        <f t="shared" si="8"/>
        <v>3000</v>
      </c>
      <c r="E38" s="68">
        <f t="shared" si="0"/>
        <v>287.85110448524551</v>
      </c>
      <c r="F38" s="69">
        <f t="shared" si="1"/>
        <v>522.72893373088527</v>
      </c>
      <c r="G38" s="68">
        <f t="shared" si="3"/>
        <v>4596.7901114349561</v>
      </c>
      <c r="H38" s="69">
        <f t="shared" si="4"/>
        <v>5724.1925933139028</v>
      </c>
      <c r="I38" s="91">
        <f t="shared" si="5"/>
        <v>-1086.1048755032198</v>
      </c>
      <c r="J38" s="91">
        <f t="shared" si="6"/>
        <v>-482.74047154685638</v>
      </c>
      <c r="L38" s="93">
        <f t="shared" si="7"/>
        <v>83</v>
      </c>
      <c r="M38" s="70">
        <v>4.5967901114349563E-2</v>
      </c>
      <c r="N38" s="71">
        <v>0</v>
      </c>
      <c r="O38" s="72">
        <f t="shared" si="9"/>
        <v>0.44446948212362142</v>
      </c>
      <c r="P38" s="73">
        <f t="shared" si="2"/>
        <v>0.20461981261590317</v>
      </c>
    </row>
    <row r="39" spans="1:16" x14ac:dyDescent="0.2">
      <c r="B39" s="65">
        <v>15</v>
      </c>
      <c r="C39" s="66">
        <v>6000</v>
      </c>
      <c r="D39" s="67">
        <f t="shared" si="8"/>
        <v>3000</v>
      </c>
      <c r="E39" s="68">
        <f t="shared" si="0"/>
        <v>291.29738209737661</v>
      </c>
      <c r="F39" s="69">
        <f t="shared" si="1"/>
        <v>522.52215707415735</v>
      </c>
      <c r="G39" s="68">
        <f t="shared" si="3"/>
        <v>5149.2771533953373</v>
      </c>
      <c r="H39" s="69">
        <f t="shared" si="4"/>
        <v>5691.0433707962793</v>
      </c>
      <c r="I39" s="91">
        <f t="shared" si="5"/>
        <v>-1609.0957492148355</v>
      </c>
      <c r="J39" s="91">
        <f t="shared" si="6"/>
        <v>-682.31798937011831</v>
      </c>
      <c r="L39" s="93">
        <f t="shared" si="7"/>
        <v>84</v>
      </c>
      <c r="M39" s="70">
        <v>5.1492771533953374E-2</v>
      </c>
      <c r="N39" s="71">
        <v>0</v>
      </c>
      <c r="O39" s="72">
        <f t="shared" si="9"/>
        <v>0.42403815292101665</v>
      </c>
      <c r="P39" s="73">
        <f t="shared" si="2"/>
        <v>0.18269626126419927</v>
      </c>
    </row>
    <row r="40" spans="1:16" x14ac:dyDescent="0.2">
      <c r="B40" s="65">
        <v>16</v>
      </c>
      <c r="C40" s="66">
        <v>6000</v>
      </c>
      <c r="D40" s="67">
        <f t="shared" si="8"/>
        <v>3000</v>
      </c>
      <c r="E40" s="68">
        <f t="shared" si="0"/>
        <v>294.82981664981105</v>
      </c>
      <c r="F40" s="69">
        <f t="shared" si="1"/>
        <v>522.31021100101134</v>
      </c>
      <c r="G40" s="68">
        <f t="shared" si="3"/>
        <v>5766.4543071334174</v>
      </c>
      <c r="H40" s="69">
        <f t="shared" si="4"/>
        <v>5654.0127415719953</v>
      </c>
      <c r="I40" s="91">
        <f t="shared" si="5"/>
        <v>-2192.986654354213</v>
      </c>
      <c r="J40" s="91">
        <f t="shared" si="6"/>
        <v>-882.02636658565712</v>
      </c>
      <c r="L40" s="93">
        <f t="shared" si="7"/>
        <v>85</v>
      </c>
      <c r="M40" s="70">
        <v>5.7664543071334173E-2</v>
      </c>
      <c r="N40" s="71">
        <v>0</v>
      </c>
      <c r="O40" s="72">
        <f t="shared" si="9"/>
        <v>0.40220325319097516</v>
      </c>
      <c r="P40" s="73">
        <f t="shared" si="2"/>
        <v>0.16312166184303503</v>
      </c>
    </row>
    <row r="41" spans="1:16" x14ac:dyDescent="0.2">
      <c r="B41" s="65">
        <v>17</v>
      </c>
      <c r="C41" s="66">
        <v>6000</v>
      </c>
      <c r="D41" s="67">
        <f t="shared" si="8"/>
        <v>3000</v>
      </c>
      <c r="E41" s="68">
        <f t="shared" si="0"/>
        <v>298.45056206605631</v>
      </c>
      <c r="F41" s="69">
        <f t="shared" si="1"/>
        <v>522.09296627603658</v>
      </c>
      <c r="G41" s="68">
        <f t="shared" si="3"/>
        <v>6455.3690299161799</v>
      </c>
      <c r="H41" s="69">
        <f t="shared" si="4"/>
        <v>5612.6778582050292</v>
      </c>
      <c r="I41" s="91">
        <f t="shared" si="5"/>
        <v>-2844.4044839112285</v>
      </c>
      <c r="J41" s="91">
        <f t="shared" si="6"/>
        <v>-1078.0588424508865</v>
      </c>
      <c r="L41" s="93">
        <f t="shared" si="7"/>
        <v>86</v>
      </c>
      <c r="M41" s="70">
        <v>6.4553690299161803E-2</v>
      </c>
      <c r="N41" s="71">
        <v>0</v>
      </c>
      <c r="O41" s="72">
        <f t="shared" si="9"/>
        <v>0.37901038637391343</v>
      </c>
      <c r="P41" s="73">
        <f t="shared" si="2"/>
        <v>0.14564434093128129</v>
      </c>
    </row>
    <row r="42" spans="1:16" x14ac:dyDescent="0.2">
      <c r="B42" s="65">
        <v>18</v>
      </c>
      <c r="C42" s="66">
        <v>6000</v>
      </c>
      <c r="D42" s="67">
        <f t="shared" si="8"/>
        <v>3000</v>
      </c>
      <c r="E42" s="68">
        <f t="shared" si="0"/>
        <v>302.16182611770773</v>
      </c>
      <c r="F42" s="69">
        <f t="shared" si="1"/>
        <v>521.87029043293751</v>
      </c>
      <c r="G42" s="68">
        <f t="shared" si="3"/>
        <v>7223.6990358998555</v>
      </c>
      <c r="H42" s="69">
        <f t="shared" si="4"/>
        <v>5566.578057846009</v>
      </c>
      <c r="I42" s="91">
        <f t="shared" si="5"/>
        <v>-3570.5686294306342</v>
      </c>
      <c r="J42" s="91">
        <f t="shared" si="6"/>
        <v>-1265.9232102375868</v>
      </c>
      <c r="L42" s="93">
        <f t="shared" si="7"/>
        <v>87</v>
      </c>
      <c r="M42" s="70">
        <v>7.2236990358998554E-2</v>
      </c>
      <c r="N42" s="71">
        <v>0</v>
      </c>
      <c r="O42" s="72">
        <f t="shared" si="9"/>
        <v>0.35454386727176618</v>
      </c>
      <c r="P42" s="73">
        <f t="shared" si="2"/>
        <v>0.13003959011721541</v>
      </c>
    </row>
    <row r="43" spans="1:16" x14ac:dyDescent="0.2">
      <c r="B43" s="65">
        <v>19</v>
      </c>
      <c r="C43" s="66">
        <v>6000</v>
      </c>
      <c r="D43" s="67">
        <f t="shared" si="8"/>
        <v>3000</v>
      </c>
      <c r="E43" s="68">
        <f t="shared" si="0"/>
        <v>305.96587177065044</v>
      </c>
      <c r="F43" s="69">
        <f t="shared" si="1"/>
        <v>521.64204769376101</v>
      </c>
      <c r="G43" s="68">
        <f t="shared" si="3"/>
        <v>8079.7715318629334</v>
      </c>
      <c r="H43" s="69">
        <f t="shared" si="4"/>
        <v>5515.2137080882239</v>
      </c>
      <c r="I43" s="91">
        <f t="shared" si="5"/>
        <v>-4379.3090640280452</v>
      </c>
      <c r="J43" s="91">
        <f t="shared" si="6"/>
        <v>-1440.4978904075233</v>
      </c>
      <c r="L43" s="93">
        <f t="shared" si="7"/>
        <v>88</v>
      </c>
      <c r="M43" s="70">
        <v>8.0797715318629337E-2</v>
      </c>
      <c r="N43" s="71">
        <v>0</v>
      </c>
      <c r="O43" s="72">
        <f t="shared" si="9"/>
        <v>0.32893268534981351</v>
      </c>
      <c r="P43" s="73">
        <f t="shared" si="2"/>
        <v>0.1161067768903709</v>
      </c>
    </row>
    <row r="44" spans="1:16" ht="17" thickBot="1" x14ac:dyDescent="0.25">
      <c r="B44" s="74">
        <v>20</v>
      </c>
      <c r="C44" s="75">
        <v>6000</v>
      </c>
      <c r="D44" s="76">
        <f t="shared" si="8"/>
        <v>3000</v>
      </c>
      <c r="E44" s="77">
        <f t="shared" si="0"/>
        <v>309.86501856491668</v>
      </c>
      <c r="F44" s="78">
        <f t="shared" si="1"/>
        <v>521.40809888610499</v>
      </c>
      <c r="G44" s="77">
        <f t="shared" si="3"/>
        <v>9032.571420515078</v>
      </c>
      <c r="H44" s="78">
        <f>(1-M44)*(1-N44)*C45</f>
        <v>0</v>
      </c>
      <c r="I44" s="94">
        <f t="shared" si="5"/>
        <v>178.97165980610953</v>
      </c>
      <c r="J44" s="94">
        <f t="shared" si="6"/>
        <v>54.113097164028616</v>
      </c>
      <c r="L44" s="95">
        <f t="shared" si="7"/>
        <v>89</v>
      </c>
      <c r="M44" s="79">
        <v>9.0325714205150787E-2</v>
      </c>
      <c r="N44" s="80">
        <v>0</v>
      </c>
      <c r="O44" s="81">
        <f t="shared" si="9"/>
        <v>0.30235567587992701</v>
      </c>
      <c r="P44" s="82">
        <f t="shared" si="2"/>
        <v>0.1036667650806883</v>
      </c>
    </row>
    <row r="45" spans="1:16" x14ac:dyDescent="0.2">
      <c r="B45" s="83"/>
      <c r="C45" s="84"/>
      <c r="E45" s="85"/>
      <c r="F45" s="85"/>
      <c r="G45" s="85"/>
      <c r="H45" s="85"/>
      <c r="I45" s="85"/>
      <c r="J45" s="85"/>
    </row>
    <row r="46" spans="1:16" x14ac:dyDescent="0.2">
      <c r="A46" s="96" t="s">
        <v>48</v>
      </c>
      <c r="B46" s="146" t="s">
        <v>49</v>
      </c>
      <c r="C46" s="146"/>
      <c r="D46" s="146"/>
      <c r="E46" s="146"/>
      <c r="F46" s="146"/>
      <c r="G46" s="146"/>
      <c r="H46" s="146"/>
      <c r="I46" s="146"/>
      <c r="J46" s="146"/>
    </row>
    <row r="47" spans="1:16" ht="17" thickBot="1" x14ac:dyDescent="0.25">
      <c r="A47" s="97"/>
      <c r="B47" s="98"/>
      <c r="C47" s="98"/>
      <c r="D47" s="98"/>
      <c r="E47" s="98"/>
      <c r="F47" s="98"/>
      <c r="G47" s="98"/>
      <c r="H47" s="98"/>
      <c r="I47" s="98"/>
      <c r="J47" s="98"/>
    </row>
    <row r="48" spans="1:16" ht="17" thickBot="1" x14ac:dyDescent="0.25">
      <c r="A48" s="23" t="s">
        <v>17</v>
      </c>
      <c r="B48" s="125">
        <f>SUMPRODUCT(P25:P44,J25:J44)+J24</f>
        <v>3441.5912470303197</v>
      </c>
    </row>
    <row r="50" spans="1:10" x14ac:dyDescent="0.2">
      <c r="A50" s="90" t="s">
        <v>50</v>
      </c>
      <c r="B50" s="148" t="s">
        <v>51</v>
      </c>
      <c r="C50" s="148"/>
      <c r="D50" s="148"/>
      <c r="E50" s="148"/>
      <c r="F50" s="148"/>
      <c r="G50" s="148"/>
      <c r="H50" s="148"/>
      <c r="I50" s="148"/>
      <c r="J50" s="148"/>
    </row>
    <row r="51" spans="1:10" ht="17" thickBot="1" x14ac:dyDescent="0.25"/>
    <row r="52" spans="1:10" ht="17" thickBot="1" x14ac:dyDescent="0.25">
      <c r="A52" s="23" t="s">
        <v>17</v>
      </c>
      <c r="B52" s="126">
        <f>B48/(SUMPRODUCT(D25:D44,O25:O44,P25:P44)*(1+i_h))</f>
        <v>0.19242394200690757</v>
      </c>
    </row>
    <row r="53" spans="1:10" x14ac:dyDescent="0.2">
      <c r="B53" s="44"/>
    </row>
    <row r="54" spans="1:10" x14ac:dyDescent="0.2">
      <c r="A54" s="90" t="s">
        <v>52</v>
      </c>
      <c r="B54" s="146" t="s">
        <v>59</v>
      </c>
      <c r="C54" s="146"/>
      <c r="D54" s="146"/>
      <c r="E54" s="146"/>
      <c r="F54" s="146"/>
      <c r="G54" s="146"/>
      <c r="H54" s="146"/>
      <c r="I54" s="146"/>
      <c r="J54" s="146"/>
    </row>
    <row r="55" spans="1:10" x14ac:dyDescent="0.2">
      <c r="A55" s="90"/>
      <c r="B55" s="146"/>
      <c r="C55" s="146"/>
      <c r="D55" s="146"/>
      <c r="E55" s="146"/>
      <c r="F55" s="146"/>
      <c r="G55" s="146"/>
      <c r="H55" s="146"/>
      <c r="I55" s="146"/>
      <c r="J55" s="146"/>
    </row>
    <row r="56" spans="1:10" ht="17" thickBot="1" x14ac:dyDescent="0.25">
      <c r="A56" s="89"/>
    </row>
    <row r="57" spans="1:10" ht="15.5" customHeight="1" x14ac:dyDescent="0.2">
      <c r="A57" s="23" t="s">
        <v>17</v>
      </c>
      <c r="B57" s="149" t="s">
        <v>53</v>
      </c>
      <c r="C57" s="150"/>
      <c r="D57" s="150"/>
      <c r="E57" s="150"/>
      <c r="F57" s="150"/>
      <c r="G57" s="150"/>
      <c r="H57" s="150"/>
      <c r="I57" s="150"/>
      <c r="J57" s="151"/>
    </row>
    <row r="58" spans="1:10" ht="17" thickBot="1" x14ac:dyDescent="0.25">
      <c r="A58" s="23"/>
      <c r="B58" s="152"/>
      <c r="C58" s="153"/>
      <c r="D58" s="153"/>
      <c r="E58" s="153"/>
      <c r="F58" s="153"/>
      <c r="G58" s="153"/>
      <c r="H58" s="153"/>
      <c r="I58" s="153"/>
      <c r="J58" s="154"/>
    </row>
    <row r="59" spans="1:10" x14ac:dyDescent="0.2">
      <c r="A59" s="89"/>
      <c r="B59" s="99"/>
      <c r="C59" s="99"/>
      <c r="D59" s="99"/>
      <c r="E59" s="99"/>
      <c r="F59" s="99"/>
      <c r="G59" s="99"/>
      <c r="H59" s="99"/>
      <c r="I59" s="99"/>
    </row>
    <row r="60" spans="1:10" x14ac:dyDescent="0.2">
      <c r="A60" s="90" t="s">
        <v>54</v>
      </c>
      <c r="B60" s="147"/>
      <c r="C60" s="147"/>
      <c r="D60" s="147"/>
      <c r="E60" s="147"/>
      <c r="F60" s="147"/>
      <c r="G60" s="147"/>
      <c r="H60" s="147"/>
      <c r="I60" s="147"/>
      <c r="J60" s="147"/>
    </row>
    <row r="61" spans="1:10" x14ac:dyDescent="0.2">
      <c r="A61" s="90" t="s">
        <v>20</v>
      </c>
      <c r="B61" s="147" t="s">
        <v>55</v>
      </c>
      <c r="C61" s="147"/>
      <c r="D61" s="147"/>
      <c r="E61" s="147"/>
      <c r="F61" s="147"/>
      <c r="G61" s="147"/>
      <c r="H61" s="147"/>
      <c r="I61" s="147"/>
      <c r="J61" s="147"/>
    </row>
    <row r="62" spans="1:10" ht="17" thickBot="1" x14ac:dyDescent="0.25"/>
    <row r="63" spans="1:10" ht="52" thickBot="1" x14ac:dyDescent="0.25">
      <c r="A63" s="23" t="s">
        <v>17</v>
      </c>
      <c r="B63" s="51" t="s">
        <v>0</v>
      </c>
      <c r="C63" s="52" t="s">
        <v>38</v>
      </c>
      <c r="D63" s="51" t="s">
        <v>39</v>
      </c>
      <c r="E63" s="53" t="s">
        <v>4</v>
      </c>
      <c r="F63" s="51" t="s">
        <v>40</v>
      </c>
      <c r="G63" s="53" t="s">
        <v>41</v>
      </c>
      <c r="H63" s="51" t="s">
        <v>42</v>
      </c>
      <c r="I63" s="51" t="s">
        <v>43</v>
      </c>
      <c r="J63" s="51" t="s">
        <v>44</v>
      </c>
    </row>
    <row r="64" spans="1:10" x14ac:dyDescent="0.2">
      <c r="B64" s="55">
        <v>0</v>
      </c>
      <c r="C64" s="86"/>
      <c r="D64" s="57"/>
      <c r="E64" s="58">
        <v>300</v>
      </c>
      <c r="F64" s="59"/>
      <c r="G64" s="58"/>
      <c r="H64" s="59"/>
      <c r="I64" s="91">
        <f>C64+D64-E64+F64-G64-H64</f>
        <v>-300</v>
      </c>
      <c r="J64" s="92">
        <f>I64</f>
        <v>-300</v>
      </c>
    </row>
    <row r="65" spans="1:10" x14ac:dyDescent="0.2">
      <c r="B65" s="65">
        <v>1</v>
      </c>
      <c r="C65" s="87">
        <v>0</v>
      </c>
      <c r="D65" s="67">
        <v>3000</v>
      </c>
      <c r="E65" s="68">
        <f t="shared" ref="E65:E84" si="10">D65*Pr_exp+100*(1+i_j)^B64</f>
        <v>250</v>
      </c>
      <c r="F65" s="69">
        <f t="shared" ref="F65:F84" si="11">i_t*(C65+D65-E65)</f>
        <v>165</v>
      </c>
      <c r="G65" s="68">
        <f t="shared" ref="G65:G84" si="12">100000*M25</f>
        <v>1041.332696314734</v>
      </c>
      <c r="H65" s="69">
        <f t="shared" ref="H65:H84" si="13">(1-M25)*(1-N25)*C66</f>
        <v>0</v>
      </c>
      <c r="I65" s="91">
        <f>C65+D65-E65+F65-G65-H65</f>
        <v>1873.667303685266</v>
      </c>
      <c r="J65" s="91">
        <f t="shared" ref="J65:J84" si="14">I65*O25</f>
        <v>1873.667303685266</v>
      </c>
    </row>
    <row r="66" spans="1:10" x14ac:dyDescent="0.2">
      <c r="B66" s="65">
        <v>2</v>
      </c>
      <c r="C66" s="87">
        <v>0</v>
      </c>
      <c r="D66" s="67">
        <f>D65</f>
        <v>3000</v>
      </c>
      <c r="E66" s="68">
        <f t="shared" si="10"/>
        <v>252.5</v>
      </c>
      <c r="F66" s="69">
        <f t="shared" si="11"/>
        <v>164.85</v>
      </c>
      <c r="G66" s="68">
        <f t="shared" si="12"/>
        <v>1167.0038358202683</v>
      </c>
      <c r="H66" s="69">
        <f t="shared" si="13"/>
        <v>0</v>
      </c>
      <c r="I66" s="91">
        <f t="shared" ref="I66:I83" si="15">C66+D66-E66+F66-G66-H66</f>
        <v>1745.3461641797317</v>
      </c>
      <c r="J66" s="91">
        <f t="shared" si="14"/>
        <v>1640.8127387128404</v>
      </c>
    </row>
    <row r="67" spans="1:10" x14ac:dyDescent="0.2">
      <c r="A67" s="44"/>
      <c r="B67" s="65">
        <v>3</v>
      </c>
      <c r="C67" s="87">
        <v>0</v>
      </c>
      <c r="D67" s="67">
        <f t="shared" ref="D67:D84" si="16">D66</f>
        <v>3000</v>
      </c>
      <c r="E67" s="68">
        <f t="shared" si="10"/>
        <v>255.0625</v>
      </c>
      <c r="F67" s="69">
        <f t="shared" si="11"/>
        <v>164.69624999999999</v>
      </c>
      <c r="G67" s="68">
        <f t="shared" si="12"/>
        <v>1308.0677008737164</v>
      </c>
      <c r="H67" s="69">
        <f t="shared" si="13"/>
        <v>1407.1439908766129</v>
      </c>
      <c r="I67" s="91">
        <f t="shared" si="15"/>
        <v>194.42205824967073</v>
      </c>
      <c r="J67" s="91">
        <f t="shared" si="14"/>
        <v>171.61235313781859</v>
      </c>
    </row>
    <row r="68" spans="1:10" x14ac:dyDescent="0.2">
      <c r="B68" s="65">
        <v>4</v>
      </c>
      <c r="C68" s="87">
        <f t="shared" ref="C68:C84" si="17">(G68+H68)/(1+i_t)+E68-D68</f>
        <v>1500.8361538948848</v>
      </c>
      <c r="D68" s="67">
        <f t="shared" si="16"/>
        <v>3000</v>
      </c>
      <c r="E68" s="68">
        <f t="shared" si="10"/>
        <v>257.68906249999998</v>
      </c>
      <c r="F68" s="69">
        <f t="shared" si="11"/>
        <v>254.58882548369309</v>
      </c>
      <c r="G68" s="68">
        <f t="shared" si="12"/>
        <v>1466.3831624937006</v>
      </c>
      <c r="H68" s="69">
        <f t="shared" si="13"/>
        <v>3031.3527543848786</v>
      </c>
      <c r="I68" s="91">
        <f t="shared" si="15"/>
        <v>0</v>
      </c>
      <c r="J68" s="91">
        <f t="shared" si="14"/>
        <v>0</v>
      </c>
    </row>
    <row r="69" spans="1:10" x14ac:dyDescent="0.2">
      <c r="B69" s="65">
        <v>5</v>
      </c>
      <c r="C69" s="87">
        <f t="shared" si="17"/>
        <v>3238.3847651271954</v>
      </c>
      <c r="D69" s="67">
        <f t="shared" si="16"/>
        <v>3000</v>
      </c>
      <c r="E69" s="68">
        <f t="shared" si="10"/>
        <v>260.38128906249995</v>
      </c>
      <c r="F69" s="69">
        <f t="shared" si="11"/>
        <v>358.68020856388176</v>
      </c>
      <c r="G69" s="68">
        <f t="shared" si="12"/>
        <v>1644.0266126718006</v>
      </c>
      <c r="H69" s="69">
        <f t="shared" si="13"/>
        <v>4692.6570719567762</v>
      </c>
      <c r="I69" s="91">
        <f t="shared" si="15"/>
        <v>0</v>
      </c>
      <c r="J69" s="91">
        <f t="shared" si="14"/>
        <v>0</v>
      </c>
    </row>
    <row r="70" spans="1:10" x14ac:dyDescent="0.2">
      <c r="B70" s="65">
        <v>6</v>
      </c>
      <c r="C70" s="87">
        <f t="shared" si="17"/>
        <v>5022.2054167060887</v>
      </c>
      <c r="D70" s="67">
        <f t="shared" si="16"/>
        <v>3000</v>
      </c>
      <c r="E70" s="68">
        <f t="shared" si="10"/>
        <v>263.1408212890625</v>
      </c>
      <c r="F70" s="69">
        <f t="shared" si="11"/>
        <v>465.54387572502151</v>
      </c>
      <c r="G70" s="68">
        <f t="shared" si="12"/>
        <v>1843.3155787278888</v>
      </c>
      <c r="H70" s="69">
        <f t="shared" si="13"/>
        <v>6381.2928924141597</v>
      </c>
      <c r="I70" s="91">
        <f t="shared" si="15"/>
        <v>0</v>
      </c>
      <c r="J70" s="91">
        <f t="shared" si="14"/>
        <v>0</v>
      </c>
    </row>
    <row r="71" spans="1:10" x14ac:dyDescent="0.2">
      <c r="B71" s="65">
        <v>7</v>
      </c>
      <c r="C71" s="87">
        <f t="shared" si="17"/>
        <v>6843.2939159177877</v>
      </c>
      <c r="D71" s="67">
        <f t="shared" si="16"/>
        <v>3000</v>
      </c>
      <c r="E71" s="68">
        <f t="shared" si="10"/>
        <v>265.96934182128905</v>
      </c>
      <c r="F71" s="69">
        <f t="shared" si="11"/>
        <v>574.63947444578992</v>
      </c>
      <c r="G71" s="68">
        <f t="shared" si="12"/>
        <v>2066.8344063542563</v>
      </c>
      <c r="H71" s="69">
        <f t="shared" si="13"/>
        <v>8085.1296421880324</v>
      </c>
      <c r="I71" s="91">
        <f t="shared" si="15"/>
        <v>0</v>
      </c>
      <c r="J71" s="91">
        <f t="shared" si="14"/>
        <v>0</v>
      </c>
    </row>
    <row r="72" spans="1:10" x14ac:dyDescent="0.2">
      <c r="B72" s="65">
        <v>8</v>
      </c>
      <c r="C72" s="87">
        <f t="shared" si="17"/>
        <v>8690.2764039752055</v>
      </c>
      <c r="D72" s="67">
        <f t="shared" si="16"/>
        <v>3000</v>
      </c>
      <c r="E72" s="68">
        <f t="shared" si="10"/>
        <v>268.86857536682123</v>
      </c>
      <c r="F72" s="69">
        <f t="shared" si="11"/>
        <v>685.28446971650305</v>
      </c>
      <c r="G72" s="68">
        <f t="shared" si="12"/>
        <v>2317.4620518370934</v>
      </c>
      <c r="H72" s="69">
        <f t="shared" si="13"/>
        <v>9789.2302464877939</v>
      </c>
      <c r="I72" s="91">
        <f t="shared" si="15"/>
        <v>0</v>
      </c>
      <c r="J72" s="91">
        <f t="shared" si="14"/>
        <v>0</v>
      </c>
    </row>
    <row r="73" spans="1:10" x14ac:dyDescent="0.2">
      <c r="B73" s="65">
        <v>9</v>
      </c>
      <c r="C73" s="87">
        <f t="shared" si="17"/>
        <v>10548.920111502464</v>
      </c>
      <c r="D73" s="67">
        <f t="shared" si="16"/>
        <v>3000</v>
      </c>
      <c r="E73" s="68">
        <f t="shared" si="10"/>
        <v>271.84028975099176</v>
      </c>
      <c r="F73" s="69">
        <f t="shared" si="11"/>
        <v>796.62478930508837</v>
      </c>
      <c r="G73" s="68">
        <f t="shared" si="12"/>
        <v>2598.4019763202637</v>
      </c>
      <c r="H73" s="69">
        <f t="shared" si="13"/>
        <v>11475.302634736299</v>
      </c>
      <c r="I73" s="91">
        <f t="shared" si="15"/>
        <v>0</v>
      </c>
      <c r="J73" s="91">
        <f t="shared" si="14"/>
        <v>0</v>
      </c>
    </row>
    <row r="74" spans="1:10" x14ac:dyDescent="0.2">
      <c r="B74" s="65">
        <v>10</v>
      </c>
      <c r="C74" s="87">
        <f t="shared" si="17"/>
        <v>12401.506932529715</v>
      </c>
      <c r="D74" s="67">
        <f t="shared" si="16"/>
        <v>3000</v>
      </c>
      <c r="E74" s="68">
        <f t="shared" si="10"/>
        <v>274.88629699476655</v>
      </c>
      <c r="F74" s="69">
        <f t="shared" si="11"/>
        <v>907.59723813209689</v>
      </c>
      <c r="G74" s="68">
        <f t="shared" si="12"/>
        <v>2913.2140693127417</v>
      </c>
      <c r="H74" s="69">
        <f t="shared" si="13"/>
        <v>13121.003804354305</v>
      </c>
      <c r="I74" s="91">
        <f t="shared" si="15"/>
        <v>0</v>
      </c>
      <c r="J74" s="91">
        <f t="shared" si="14"/>
        <v>0</v>
      </c>
    </row>
    <row r="75" spans="1:10" x14ac:dyDescent="0.2">
      <c r="B75" s="65">
        <v>11</v>
      </c>
      <c r="C75" s="87">
        <f t="shared" si="17"/>
        <v>14226.01728912145</v>
      </c>
      <c r="D75" s="67">
        <f t="shared" si="16"/>
        <v>3000</v>
      </c>
      <c r="E75" s="68">
        <f t="shared" si="10"/>
        <v>278.00845441963571</v>
      </c>
      <c r="F75" s="69">
        <f t="shared" si="11"/>
        <v>1016.8805300821087</v>
      </c>
      <c r="G75" s="68">
        <f t="shared" si="12"/>
        <v>3265.8484402023237</v>
      </c>
      <c r="H75" s="69">
        <f t="shared" si="13"/>
        <v>14699.040924581603</v>
      </c>
      <c r="I75" s="91">
        <f t="shared" si="15"/>
        <v>0</v>
      </c>
      <c r="J75" s="91">
        <f t="shared" si="14"/>
        <v>0</v>
      </c>
    </row>
    <row r="76" spans="1:10" x14ac:dyDescent="0.2">
      <c r="B76" s="65">
        <v>12</v>
      </c>
      <c r="C76" s="87">
        <f t="shared" si="17"/>
        <v>15195.296270826511</v>
      </c>
      <c r="D76" s="67">
        <f t="shared" si="16"/>
        <v>3000</v>
      </c>
      <c r="E76" s="68">
        <f t="shared" si="10"/>
        <v>281.20866578012658</v>
      </c>
      <c r="F76" s="69">
        <f t="shared" si="11"/>
        <v>1074.8452563027831</v>
      </c>
      <c r="G76" s="68">
        <f t="shared" si="12"/>
        <v>3660.6807996160228</v>
      </c>
      <c r="H76" s="69">
        <f t="shared" si="13"/>
        <v>15328.252061733145</v>
      </c>
      <c r="I76" s="91">
        <f t="shared" si="15"/>
        <v>0</v>
      </c>
      <c r="J76" s="91">
        <f t="shared" si="14"/>
        <v>0</v>
      </c>
    </row>
    <row r="77" spans="1:10" x14ac:dyDescent="0.2">
      <c r="B77" s="65">
        <v>13</v>
      </c>
      <c r="C77" s="87">
        <f t="shared" si="17"/>
        <v>15910.691697800634</v>
      </c>
      <c r="D77" s="67">
        <f t="shared" si="16"/>
        <v>3000</v>
      </c>
      <c r="E77" s="68">
        <f t="shared" si="10"/>
        <v>284.48888242462976</v>
      </c>
      <c r="F77" s="69">
        <f t="shared" si="11"/>
        <v>1117.5721689225602</v>
      </c>
      <c r="G77" s="68">
        <f t="shared" si="12"/>
        <v>4102.5490002634779</v>
      </c>
      <c r="H77" s="69">
        <f t="shared" si="13"/>
        <v>15641.225984035089</v>
      </c>
      <c r="I77" s="91">
        <f t="shared" si="15"/>
        <v>0</v>
      </c>
      <c r="J77" s="91">
        <f t="shared" si="14"/>
        <v>0</v>
      </c>
    </row>
    <row r="78" spans="1:10" x14ac:dyDescent="0.2">
      <c r="B78" s="65">
        <v>14</v>
      </c>
      <c r="C78" s="87">
        <f t="shared" si="17"/>
        <v>16310.366773020967</v>
      </c>
      <c r="D78" s="67">
        <f t="shared" si="16"/>
        <v>3000</v>
      </c>
      <c r="E78" s="68">
        <f t="shared" si="10"/>
        <v>287.85110448524551</v>
      </c>
      <c r="F78" s="69">
        <f t="shared" si="11"/>
        <v>1141.3509401121432</v>
      </c>
      <c r="G78" s="68">
        <f t="shared" si="12"/>
        <v>4596.7901114349561</v>
      </c>
      <c r="H78" s="69">
        <f t="shared" si="13"/>
        <v>15567.076497212911</v>
      </c>
      <c r="I78" s="91">
        <f t="shared" si="15"/>
        <v>0</v>
      </c>
      <c r="J78" s="91">
        <f t="shared" si="14"/>
        <v>0</v>
      </c>
    </row>
    <row r="79" spans="1:10" x14ac:dyDescent="0.2">
      <c r="B79" s="65">
        <v>15</v>
      </c>
      <c r="C79" s="87">
        <f t="shared" si="17"/>
        <v>16317.141231826383</v>
      </c>
      <c r="D79" s="67">
        <f t="shared" si="16"/>
        <v>3000</v>
      </c>
      <c r="E79" s="68">
        <f t="shared" si="10"/>
        <v>291.29738209737661</v>
      </c>
      <c r="F79" s="69">
        <f t="shared" si="11"/>
        <v>1141.5506309837401</v>
      </c>
      <c r="G79" s="68">
        <f t="shared" si="12"/>
        <v>5149.2771533953373</v>
      </c>
      <c r="H79" s="69">
        <f t="shared" si="13"/>
        <v>15018.117327317408</v>
      </c>
      <c r="I79" s="91">
        <f t="shared" si="15"/>
        <v>0</v>
      </c>
      <c r="J79" s="91">
        <f t="shared" si="14"/>
        <v>0</v>
      </c>
    </row>
    <row r="80" spans="1:10" x14ac:dyDescent="0.2">
      <c r="B80" s="65">
        <v>16</v>
      </c>
      <c r="C80" s="87">
        <f t="shared" si="17"/>
        <v>15833.42422345599</v>
      </c>
      <c r="D80" s="67">
        <f t="shared" si="16"/>
        <v>3000</v>
      </c>
      <c r="E80" s="68">
        <f t="shared" si="10"/>
        <v>294.82981664981105</v>
      </c>
      <c r="F80" s="69">
        <f t="shared" si="11"/>
        <v>1112.3156644083708</v>
      </c>
      <c r="G80" s="68">
        <f t="shared" si="12"/>
        <v>5766.4543071334174</v>
      </c>
      <c r="H80" s="69">
        <f t="shared" si="13"/>
        <v>13884.455764081134</v>
      </c>
      <c r="I80" s="91">
        <f t="shared" si="15"/>
        <v>0</v>
      </c>
      <c r="J80" s="91">
        <f t="shared" si="14"/>
        <v>0</v>
      </c>
    </row>
    <row r="81" spans="1:10" x14ac:dyDescent="0.2">
      <c r="B81" s="65">
        <v>17</v>
      </c>
      <c r="C81" s="87">
        <f t="shared" si="17"/>
        <v>14734.090351788789</v>
      </c>
      <c r="D81" s="67">
        <f t="shared" si="16"/>
        <v>3000</v>
      </c>
      <c r="E81" s="68">
        <f t="shared" si="10"/>
        <v>298.45056206605631</v>
      </c>
      <c r="F81" s="69">
        <f t="shared" si="11"/>
        <v>1046.1383873833638</v>
      </c>
      <c r="G81" s="68">
        <f t="shared" si="12"/>
        <v>6455.3690299161799</v>
      </c>
      <c r="H81" s="69">
        <f t="shared" si="13"/>
        <v>12026.409147189917</v>
      </c>
      <c r="I81" s="91">
        <f t="shared" si="15"/>
        <v>0</v>
      </c>
      <c r="J81" s="91">
        <f t="shared" si="14"/>
        <v>0</v>
      </c>
    </row>
    <row r="82" spans="1:10" x14ac:dyDescent="0.2">
      <c r="B82" s="65">
        <v>18</v>
      </c>
      <c r="C82" s="87">
        <f t="shared" si="17"/>
        <v>12856.332878191632</v>
      </c>
      <c r="D82" s="67">
        <f t="shared" si="16"/>
        <v>3000</v>
      </c>
      <c r="E82" s="68">
        <f t="shared" si="10"/>
        <v>302.16182611770773</v>
      </c>
      <c r="F82" s="69">
        <f t="shared" si="11"/>
        <v>933.25026312443538</v>
      </c>
      <c r="G82" s="68">
        <f t="shared" si="12"/>
        <v>7223.6990358998555</v>
      </c>
      <c r="H82" s="69">
        <f t="shared" si="13"/>
        <v>9263.7222792985049</v>
      </c>
      <c r="I82" s="91">
        <f t="shared" si="15"/>
        <v>0</v>
      </c>
      <c r="J82" s="91">
        <f t="shared" si="14"/>
        <v>0</v>
      </c>
    </row>
    <row r="83" spans="1:10" x14ac:dyDescent="0.2">
      <c r="B83" s="65">
        <v>19</v>
      </c>
      <c r="C83" s="87">
        <f t="shared" si="17"/>
        <v>9985.0092998244327</v>
      </c>
      <c r="D83" s="67">
        <f t="shared" si="16"/>
        <v>3000</v>
      </c>
      <c r="E83" s="68">
        <f t="shared" si="10"/>
        <v>305.96587177065044</v>
      </c>
      <c r="F83" s="69">
        <f t="shared" si="11"/>
        <v>760.742605683227</v>
      </c>
      <c r="G83" s="68">
        <f t="shared" si="12"/>
        <v>8079.7715318629334</v>
      </c>
      <c r="H83" s="69">
        <f t="shared" si="13"/>
        <v>5360.0145018740777</v>
      </c>
      <c r="I83" s="91">
        <f t="shared" si="15"/>
        <v>0</v>
      </c>
      <c r="J83" s="91">
        <f t="shared" si="14"/>
        <v>0</v>
      </c>
    </row>
    <row r="84" spans="1:10" x14ac:dyDescent="0.2">
      <c r="B84" s="65">
        <v>20</v>
      </c>
      <c r="C84" s="87">
        <f t="shared" si="17"/>
        <v>5831.1588115036684</v>
      </c>
      <c r="D84" s="67">
        <f t="shared" si="16"/>
        <v>3000</v>
      </c>
      <c r="E84" s="68">
        <f t="shared" si="10"/>
        <v>309.86501856491668</v>
      </c>
      <c r="F84" s="69">
        <f t="shared" si="11"/>
        <v>511.27762757632507</v>
      </c>
      <c r="G84" s="68">
        <f t="shared" si="12"/>
        <v>9032.571420515078</v>
      </c>
      <c r="H84" s="69">
        <f t="shared" si="13"/>
        <v>0</v>
      </c>
      <c r="I84" s="91">
        <f>C84+D84-E84+F84-G84-H84</f>
        <v>-1.8189894035458565E-12</v>
      </c>
      <c r="J84" s="91">
        <f t="shared" si="14"/>
        <v>-5.4998177052753274E-13</v>
      </c>
    </row>
    <row r="85" spans="1:10" ht="17" thickBot="1" x14ac:dyDescent="0.25">
      <c r="B85" s="74"/>
      <c r="C85" s="87"/>
      <c r="E85" s="88"/>
      <c r="F85" s="88"/>
      <c r="G85" s="88"/>
      <c r="H85" s="88"/>
      <c r="I85" s="88"/>
      <c r="J85" s="88"/>
    </row>
    <row r="87" spans="1:10" x14ac:dyDescent="0.2">
      <c r="A87" s="90" t="s">
        <v>22</v>
      </c>
      <c r="B87" s="147" t="s">
        <v>83</v>
      </c>
      <c r="C87" s="147"/>
      <c r="D87" s="147"/>
      <c r="E87" s="147"/>
      <c r="F87" s="147"/>
      <c r="G87" s="147"/>
      <c r="H87" s="147"/>
      <c r="I87" s="147"/>
      <c r="J87" s="147"/>
    </row>
    <row r="88" spans="1:10" ht="17" thickBot="1" x14ac:dyDescent="0.25"/>
    <row r="89" spans="1:10" ht="17" thickBot="1" x14ac:dyDescent="0.25">
      <c r="A89" s="23" t="s">
        <v>17</v>
      </c>
      <c r="B89" s="127">
        <f>SUMPRODUCT(J65:J67,P25:P27)+J64</f>
        <v>2803.113388187151</v>
      </c>
    </row>
  </sheetData>
  <mergeCells count="11">
    <mergeCell ref="B61:J61"/>
    <mergeCell ref="B50:J50"/>
    <mergeCell ref="B87:J87"/>
    <mergeCell ref="B18:J18"/>
    <mergeCell ref="B19:J19"/>
    <mergeCell ref="B57:J58"/>
    <mergeCell ref="L23:O23"/>
    <mergeCell ref="A4:J5"/>
    <mergeCell ref="B46:J46"/>
    <mergeCell ref="B54:J55"/>
    <mergeCell ref="B60:J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68C6B-3754-904A-AD8E-7A7699687094}">
  <dimension ref="A1:AO71"/>
  <sheetViews>
    <sheetView zoomScale="120" zoomScaleNormal="120" workbookViewId="0">
      <selection activeCell="B24" sqref="B24"/>
    </sheetView>
  </sheetViews>
  <sheetFormatPr baseColWidth="10" defaultColWidth="8.83203125" defaultRowHeight="15" x14ac:dyDescent="0.2"/>
  <cols>
    <col min="1" max="4" width="10.83203125" style="100" customWidth="1"/>
    <col min="5" max="8" width="8.83203125" style="100"/>
    <col min="9" max="9" width="17.83203125" style="100" customWidth="1"/>
    <col min="10" max="13" width="8.83203125" style="100"/>
    <col min="14" max="14" width="9.1640625" style="100" bestFit="1" customWidth="1"/>
    <col min="15" max="19" width="9" style="100" bestFit="1" customWidth="1"/>
    <col min="20" max="20" width="9.1640625" style="100" bestFit="1" customWidth="1"/>
    <col min="21" max="16384" width="8.83203125" style="100"/>
  </cols>
  <sheetData>
    <row r="1" spans="1:41" ht="17" thickBot="1" x14ac:dyDescent="0.25">
      <c r="A1" s="3" t="s">
        <v>5</v>
      </c>
      <c r="B1" s="1"/>
      <c r="C1" s="1"/>
      <c r="D1" s="1"/>
      <c r="E1" s="1"/>
      <c r="F1" s="1"/>
      <c r="G1" s="1"/>
      <c r="H1" s="1"/>
      <c r="I1" s="1"/>
      <c r="K1" s="110"/>
      <c r="L1" s="110"/>
      <c r="M1" s="110"/>
      <c r="N1" s="110"/>
      <c r="O1" s="110"/>
      <c r="P1" s="110"/>
      <c r="Q1" s="110"/>
      <c r="R1" s="110"/>
      <c r="S1" s="110"/>
      <c r="T1" s="104" t="s">
        <v>86</v>
      </c>
      <c r="U1" s="119" t="s">
        <v>84</v>
      </c>
      <c r="V1" s="119" t="s">
        <v>85</v>
      </c>
      <c r="W1" s="119" t="s">
        <v>87</v>
      </c>
      <c r="X1" s="119" t="s">
        <v>88</v>
      </c>
      <c r="Y1" s="119" t="s">
        <v>89</v>
      </c>
      <c r="Z1" s="119"/>
      <c r="AA1" s="133" t="s">
        <v>147</v>
      </c>
      <c r="AB1" s="119"/>
      <c r="AC1" s="119"/>
      <c r="AD1" s="119"/>
      <c r="AE1" s="119"/>
      <c r="AF1" s="119"/>
      <c r="AG1" s="119"/>
      <c r="AH1" s="119"/>
      <c r="AI1" s="119"/>
      <c r="AJ1" s="119" t="s">
        <v>84</v>
      </c>
      <c r="AK1" s="119" t="s">
        <v>85</v>
      </c>
      <c r="AL1" s="119" t="s">
        <v>86</v>
      </c>
      <c r="AM1" s="119" t="s">
        <v>87</v>
      </c>
      <c r="AN1" s="119" t="s">
        <v>88</v>
      </c>
      <c r="AO1" s="119" t="s">
        <v>89</v>
      </c>
    </row>
    <row r="2" spans="1:41" ht="19" thickBot="1" x14ac:dyDescent="0.3">
      <c r="A2" s="1" t="s">
        <v>117</v>
      </c>
      <c r="B2" s="1"/>
      <c r="C2" s="1"/>
      <c r="D2" s="1"/>
      <c r="E2" s="1"/>
      <c r="F2" s="1"/>
      <c r="G2" s="1"/>
      <c r="H2" s="1"/>
      <c r="I2" s="1"/>
      <c r="K2" s="103" t="s">
        <v>90</v>
      </c>
      <c r="L2" s="104" t="s">
        <v>91</v>
      </c>
      <c r="M2" s="104" t="s">
        <v>92</v>
      </c>
      <c r="N2" s="104" t="s">
        <v>93</v>
      </c>
      <c r="O2" s="104" t="s">
        <v>94</v>
      </c>
      <c r="P2" s="104" t="s">
        <v>4</v>
      </c>
      <c r="Q2" s="104" t="s">
        <v>123</v>
      </c>
      <c r="R2" s="104" t="s">
        <v>124</v>
      </c>
      <c r="S2" s="104" t="s">
        <v>97</v>
      </c>
      <c r="T2" s="118">
        <f t="shared" ref="T2:T32" si="0">MIN(U2,V2)</f>
        <v>0</v>
      </c>
      <c r="U2" s="110">
        <v>0</v>
      </c>
      <c r="V2" s="110">
        <v>0</v>
      </c>
      <c r="W2" s="110"/>
      <c r="X2" s="110"/>
      <c r="Y2" s="110">
        <v>0</v>
      </c>
      <c r="Z2" s="110"/>
      <c r="AA2" s="119" t="s">
        <v>90</v>
      </c>
      <c r="AB2" s="119" t="s">
        <v>91</v>
      </c>
      <c r="AC2" s="119" t="s">
        <v>92</v>
      </c>
      <c r="AD2" s="119" t="s">
        <v>93</v>
      </c>
      <c r="AE2" s="119" t="s">
        <v>94</v>
      </c>
      <c r="AF2" s="119" t="s">
        <v>4</v>
      </c>
      <c r="AG2" s="119" t="s">
        <v>95</v>
      </c>
      <c r="AH2" s="119" t="s">
        <v>96</v>
      </c>
      <c r="AI2" s="119" t="s">
        <v>97</v>
      </c>
      <c r="AJ2" s="110">
        <v>0</v>
      </c>
      <c r="AK2" s="110">
        <v>0</v>
      </c>
      <c r="AL2" s="110">
        <f>MIN(AJ2,AK2)</f>
        <v>0</v>
      </c>
      <c r="AM2" s="110"/>
      <c r="AN2" s="110"/>
      <c r="AO2" s="110">
        <v>0</v>
      </c>
    </row>
    <row r="3" spans="1:41" ht="16" x14ac:dyDescent="0.2">
      <c r="A3" s="3" t="s">
        <v>118</v>
      </c>
      <c r="B3" s="1"/>
      <c r="C3" s="1"/>
      <c r="D3" s="1"/>
      <c r="E3" s="1"/>
      <c r="F3" s="1"/>
      <c r="G3" s="1"/>
      <c r="H3" s="1"/>
      <c r="I3" s="1"/>
      <c r="K3" s="105">
        <v>60</v>
      </c>
      <c r="L3" s="105">
        <v>1</v>
      </c>
      <c r="M3" s="106">
        <v>3.398E-3</v>
      </c>
      <c r="N3" s="111">
        <v>50000</v>
      </c>
      <c r="O3" s="112">
        <v>1600</v>
      </c>
      <c r="P3" s="112">
        <f>0.2*O3+25</f>
        <v>345</v>
      </c>
      <c r="Q3" s="123">
        <v>0.03</v>
      </c>
      <c r="R3" s="123">
        <v>0.05</v>
      </c>
      <c r="S3" s="121">
        <v>1.5</v>
      </c>
      <c r="T3" s="116">
        <f t="shared" si="0"/>
        <v>1114.544075893258</v>
      </c>
      <c r="U3" s="110">
        <f t="shared" ref="U3:U32" si="1">+((T2+O3-P3-1.2*M3/(1+Q3)*N3)*(1+R3))/(1-1.2*M3*(1+R3)/(1+Q3))</f>
        <v>1114.544075893258</v>
      </c>
      <c r="V3" s="110">
        <f t="shared" ref="V3:V32" si="2">+((T2+O3-P3)*(1+R3))/(1+1.2*M3*(S3-1)*(1+R3)/(1+Q3))</f>
        <v>1315.0168842284047</v>
      </c>
      <c r="W3" s="110">
        <f>40*N3/1000</f>
        <v>2000</v>
      </c>
      <c r="X3" s="110">
        <f t="shared" ref="X3:X32" si="3">+MAX(+T3-W3,0)</f>
        <v>0</v>
      </c>
      <c r="Y3" s="110">
        <f t="shared" ref="Y3:Y32" si="4">(Y2+O3-P3-N3*1.2*M3/(1+Q3))*(1+R3)</f>
        <v>1109.9111650485438</v>
      </c>
      <c r="Z3" s="110"/>
      <c r="AA3" s="110">
        <v>60</v>
      </c>
      <c r="AB3" s="110">
        <v>1</v>
      </c>
      <c r="AC3" s="115">
        <v>3.398E-3</v>
      </c>
      <c r="AD3" s="109">
        <v>50000</v>
      </c>
      <c r="AE3" s="110">
        <v>957.94429984708142</v>
      </c>
      <c r="AF3" s="110">
        <f>0.2*AE3+25</f>
        <v>216.58885996941629</v>
      </c>
      <c r="AG3" s="110">
        <v>0.03</v>
      </c>
      <c r="AH3" s="110">
        <v>0.05</v>
      </c>
      <c r="AI3" s="110">
        <v>1.5</v>
      </c>
      <c r="AJ3" s="110">
        <f>+((AL2+AE3-AF3-1.2*AC3/(1+AG3)*AD3)*(1+AH3))/(1-1.2*AC3*(1+AH3)/(1+AG3))</f>
        <v>572.96606892473278</v>
      </c>
      <c r="AK3" s="110">
        <f>+((AL2+AE3-AF3)*(1+AH3))/(1+1.2*AC3*(AI3-1)*(1+AH3)/(1+AG3))</f>
        <v>776.80870171610013</v>
      </c>
      <c r="AL3" s="110">
        <f t="shared" ref="AL3:AL32" si="5">MIN(AJ3,AK3)</f>
        <v>572.96606892473278</v>
      </c>
      <c r="AM3" s="110">
        <f>40*AD3/1000</f>
        <v>2000</v>
      </c>
      <c r="AN3" s="110">
        <f>+MAX(+AL3-AM3,0)</f>
        <v>0</v>
      </c>
      <c r="AO3" s="110">
        <f>(AO2+AE3-AF3-AD3*1.2*AC3/(1+AG3))*(1+AH3)</f>
        <v>570.58437692009215</v>
      </c>
    </row>
    <row r="4" spans="1:41" ht="16" x14ac:dyDescent="0.2">
      <c r="A4" s="1" t="s">
        <v>98</v>
      </c>
      <c r="B4" s="1"/>
      <c r="C4" s="1"/>
      <c r="D4" s="1"/>
      <c r="E4" s="1"/>
      <c r="F4" s="1"/>
      <c r="G4" s="1"/>
      <c r="H4" s="1"/>
      <c r="I4" s="1"/>
      <c r="K4" s="105">
        <f>+K3+1</f>
        <v>61</v>
      </c>
      <c r="L4" s="105">
        <f>+L3+1</f>
        <v>2</v>
      </c>
      <c r="M4" s="106">
        <v>3.7919999999999998E-3</v>
      </c>
      <c r="N4" s="111">
        <v>50000</v>
      </c>
      <c r="O4" s="112">
        <f>+O3</f>
        <v>1600</v>
      </c>
      <c r="P4" s="112">
        <f>0.08*O4+25</f>
        <v>153</v>
      </c>
      <c r="Q4" s="123">
        <v>0.03</v>
      </c>
      <c r="R4" s="123">
        <f>+R3</f>
        <v>0.05</v>
      </c>
      <c r="S4" s="121">
        <f>+S3-0.02</f>
        <v>1.48</v>
      </c>
      <c r="T4" s="116">
        <f t="shared" si="0"/>
        <v>2469.1371435138803</v>
      </c>
      <c r="U4" s="110">
        <f t="shared" si="1"/>
        <v>2469.1371435138803</v>
      </c>
      <c r="V4" s="110">
        <f t="shared" si="2"/>
        <v>2683.6458644264562</v>
      </c>
      <c r="W4" s="110">
        <f>+W3-0.1*W$3</f>
        <v>1800</v>
      </c>
      <c r="X4" s="110">
        <f t="shared" si="3"/>
        <v>669.13714351388035</v>
      </c>
      <c r="Y4" s="110">
        <f t="shared" si="4"/>
        <v>2452.8188592233014</v>
      </c>
      <c r="Z4" s="110"/>
      <c r="AA4" s="110">
        <f>+AA3+1</f>
        <v>61</v>
      </c>
      <c r="AB4" s="110">
        <f>+AB3+1</f>
        <v>2</v>
      </c>
      <c r="AC4" s="115">
        <v>3.7919999999999998E-3</v>
      </c>
      <c r="AD4" s="109">
        <v>50000</v>
      </c>
      <c r="AE4" s="110">
        <f>+AE3</f>
        <v>957.94429984708142</v>
      </c>
      <c r="AF4" s="110">
        <f>0.08*AE4+25</f>
        <v>101.63554398776651</v>
      </c>
      <c r="AG4" s="110">
        <v>0.03</v>
      </c>
      <c r="AH4" s="110">
        <f>+AH3</f>
        <v>0.05</v>
      </c>
      <c r="AI4" s="110">
        <f>+AI3-0.02</f>
        <v>1.48</v>
      </c>
      <c r="AJ4" s="110">
        <f t="shared" ref="AJ4:AJ32" si="6">+((AL3+AE4-AF4-1.2*AC4/(1+AG4)*AD4)*(1+AH4))/(1-1.2*AC4*(1+AH4)/(1+AG4))</f>
        <v>1274.7137898200044</v>
      </c>
      <c r="AK4" s="110">
        <f t="shared" ref="AK4:AK32" si="7">+((AL3+AE4-AF4)*(1+AH4))/(1+1.2*AC4*(AI4-1)*(1+AH4)/(1+AG4))</f>
        <v>1497.4044400633584</v>
      </c>
      <c r="AL4" s="110">
        <f t="shared" si="5"/>
        <v>1274.7137898200044</v>
      </c>
      <c r="AM4" s="110">
        <f>+AM3-0.1*AM$3</f>
        <v>1800</v>
      </c>
      <c r="AN4" s="110">
        <f t="shared" ref="AN4:AN32" si="8">+MAX(+AL4-AM4,0)</f>
        <v>0</v>
      </c>
      <c r="AO4" s="110">
        <f t="shared" ref="AO4:AO32" si="9">(AO3+AE4-AF4-AD4*1.2*AC4/(1+AG4))*(1+AH4)</f>
        <v>1266.2999253407077</v>
      </c>
    </row>
    <row r="5" spans="1:41" ht="16" x14ac:dyDescent="0.2">
      <c r="A5" s="1" t="s">
        <v>99</v>
      </c>
      <c r="B5" s="1"/>
      <c r="C5" s="1"/>
      <c r="D5" s="1"/>
      <c r="E5" s="1"/>
      <c r="F5" s="1"/>
      <c r="G5" s="1"/>
      <c r="H5" s="1"/>
      <c r="I5" s="1"/>
      <c r="K5" s="105">
        <f t="shared" ref="K5:L20" si="10">+K4+1</f>
        <v>62</v>
      </c>
      <c r="L5" s="105">
        <f t="shared" si="10"/>
        <v>3</v>
      </c>
      <c r="M5" s="106">
        <v>4.2339999999999999E-3</v>
      </c>
      <c r="N5" s="111">
        <v>50000</v>
      </c>
      <c r="O5" s="112">
        <f t="shared" ref="O5:O32" si="11">+O4</f>
        <v>1600</v>
      </c>
      <c r="P5" s="112">
        <f t="shared" ref="P5:P12" si="12">0.08*O5+25</f>
        <v>153</v>
      </c>
      <c r="Q5" s="123">
        <v>0.03</v>
      </c>
      <c r="R5" s="123">
        <f t="shared" ref="R5:R32" si="13">+R4</f>
        <v>0.05</v>
      </c>
      <c r="S5" s="121">
        <f t="shared" ref="S5:S27" si="14">+S4-0.02</f>
        <v>1.46</v>
      </c>
      <c r="T5" s="116">
        <f t="shared" si="0"/>
        <v>3873.0313819884946</v>
      </c>
      <c r="U5" s="110">
        <f t="shared" si="1"/>
        <v>3873.0313819884946</v>
      </c>
      <c r="V5" s="110">
        <f t="shared" si="2"/>
        <v>4102.170375060743</v>
      </c>
      <c r="W5" s="110">
        <f t="shared" ref="W5:W12" si="15">+W4-0.1*W$3</f>
        <v>1600</v>
      </c>
      <c r="X5" s="110">
        <f t="shared" si="3"/>
        <v>2273.0313819884946</v>
      </c>
      <c r="Y5" s="110">
        <f t="shared" si="4"/>
        <v>3835.8369866504859</v>
      </c>
      <c r="Z5" s="110"/>
      <c r="AA5" s="110">
        <f t="shared" ref="AA5:AB20" si="16">+AA4+1</f>
        <v>62</v>
      </c>
      <c r="AB5" s="110">
        <f t="shared" si="16"/>
        <v>3</v>
      </c>
      <c r="AC5" s="115">
        <v>4.2339999999999999E-3</v>
      </c>
      <c r="AD5" s="109">
        <v>50000</v>
      </c>
      <c r="AE5" s="110">
        <f t="shared" ref="AE5:AE32" si="17">+AE4</f>
        <v>957.94429984708142</v>
      </c>
      <c r="AF5" s="110">
        <f t="shared" ref="AF5:AF12" si="18">0.08*AE5+25</f>
        <v>101.63554398776651</v>
      </c>
      <c r="AG5" s="110">
        <v>0.03</v>
      </c>
      <c r="AH5" s="110">
        <f t="shared" ref="AH5:AH32" si="19">+AH4</f>
        <v>0.05</v>
      </c>
      <c r="AI5" s="110">
        <f t="shared" ref="AI5:AI15" si="20">+AI4-0.02</f>
        <v>1.46</v>
      </c>
      <c r="AJ5" s="110">
        <f t="shared" si="6"/>
        <v>1988.9022899462921</v>
      </c>
      <c r="AK5" s="110">
        <f t="shared" si="7"/>
        <v>2232.2552135210344</v>
      </c>
      <c r="AL5" s="110">
        <f t="shared" si="5"/>
        <v>1988.9022899462921</v>
      </c>
      <c r="AM5" s="110">
        <f t="shared" ref="AM5:AM12" si="21">+AM4-0.1*AM$3</f>
        <v>1600</v>
      </c>
      <c r="AN5" s="110">
        <f t="shared" si="8"/>
        <v>388.90228994629206</v>
      </c>
      <c r="AO5" s="110">
        <f t="shared" si="9"/>
        <v>1969.7662997260431</v>
      </c>
    </row>
    <row r="6" spans="1:41" ht="16" x14ac:dyDescent="0.2">
      <c r="A6" s="1" t="s">
        <v>129</v>
      </c>
      <c r="B6" s="1"/>
      <c r="C6" s="1"/>
      <c r="D6" s="1"/>
      <c r="E6" s="1"/>
      <c r="F6" s="1"/>
      <c r="G6" s="1"/>
      <c r="H6" s="1"/>
      <c r="I6" s="1"/>
      <c r="K6" s="105">
        <f t="shared" si="10"/>
        <v>63</v>
      </c>
      <c r="L6" s="105">
        <f t="shared" si="10"/>
        <v>4</v>
      </c>
      <c r="M6" s="106">
        <v>4.7299999999999998E-3</v>
      </c>
      <c r="N6" s="111">
        <v>50000</v>
      </c>
      <c r="O6" s="112">
        <f t="shared" si="11"/>
        <v>1600</v>
      </c>
      <c r="P6" s="112">
        <f t="shared" si="12"/>
        <v>153</v>
      </c>
      <c r="Q6" s="123">
        <v>0.03</v>
      </c>
      <c r="R6" s="123">
        <f t="shared" si="13"/>
        <v>0.05</v>
      </c>
      <c r="S6" s="121">
        <f t="shared" si="14"/>
        <v>1.44</v>
      </c>
      <c r="T6" s="116">
        <f t="shared" si="0"/>
        <v>5327.5486056314548</v>
      </c>
      <c r="U6" s="110">
        <f t="shared" si="1"/>
        <v>5327.5486056314548</v>
      </c>
      <c r="V6" s="110">
        <f t="shared" si="2"/>
        <v>5571.8473954691744</v>
      </c>
      <c r="W6" s="110">
        <f t="shared" si="15"/>
        <v>1400</v>
      </c>
      <c r="X6" s="110">
        <f t="shared" si="3"/>
        <v>3927.5486056314548</v>
      </c>
      <c r="Y6" s="110">
        <f t="shared" si="4"/>
        <v>5257.6681563713591</v>
      </c>
      <c r="Z6" s="110"/>
      <c r="AA6" s="110">
        <f t="shared" si="16"/>
        <v>63</v>
      </c>
      <c r="AB6" s="110">
        <f t="shared" si="16"/>
        <v>4</v>
      </c>
      <c r="AC6" s="115">
        <v>4.7299999999999998E-3</v>
      </c>
      <c r="AD6" s="109">
        <v>50000</v>
      </c>
      <c r="AE6" s="110">
        <f t="shared" si="17"/>
        <v>957.94429984708142</v>
      </c>
      <c r="AF6" s="110">
        <f t="shared" si="18"/>
        <v>101.63554398776651</v>
      </c>
      <c r="AG6" s="110">
        <v>0.03</v>
      </c>
      <c r="AH6" s="110">
        <f t="shared" si="19"/>
        <v>0.05</v>
      </c>
      <c r="AI6" s="110">
        <f t="shared" si="20"/>
        <v>1.44</v>
      </c>
      <c r="AJ6" s="110">
        <f t="shared" si="6"/>
        <v>2713.8639147552644</v>
      </c>
      <c r="AK6" s="110">
        <f t="shared" si="7"/>
        <v>2979.8850075968185</v>
      </c>
      <c r="AL6" s="110">
        <f t="shared" si="5"/>
        <v>2713.8639147552644</v>
      </c>
      <c r="AM6" s="110">
        <f t="shared" si="21"/>
        <v>1400</v>
      </c>
      <c r="AN6" s="110">
        <f t="shared" si="8"/>
        <v>1313.8639147552644</v>
      </c>
      <c r="AO6" s="110">
        <f t="shared" si="9"/>
        <v>2678.0681287529756</v>
      </c>
    </row>
    <row r="7" spans="1:41" ht="16" x14ac:dyDescent="0.2">
      <c r="A7" s="1" t="s">
        <v>100</v>
      </c>
      <c r="B7" s="1"/>
      <c r="C7" s="1"/>
      <c r="D7" s="1"/>
      <c r="E7" s="1"/>
      <c r="F7" s="1"/>
      <c r="G7" s="1"/>
      <c r="H7" s="1"/>
      <c r="I7" s="1"/>
      <c r="K7" s="105">
        <f t="shared" si="10"/>
        <v>64</v>
      </c>
      <c r="L7" s="105">
        <f t="shared" si="10"/>
        <v>5</v>
      </c>
      <c r="M7" s="106">
        <v>5.2880000000000002E-3</v>
      </c>
      <c r="N7" s="111">
        <v>50000</v>
      </c>
      <c r="O7" s="112">
        <f t="shared" si="11"/>
        <v>1600</v>
      </c>
      <c r="P7" s="112">
        <f t="shared" si="12"/>
        <v>153</v>
      </c>
      <c r="Q7" s="123">
        <v>0.03</v>
      </c>
      <c r="R7" s="123">
        <f t="shared" si="13"/>
        <v>0.05</v>
      </c>
      <c r="S7" s="121">
        <f t="shared" si="14"/>
        <v>1.42</v>
      </c>
      <c r="T7" s="116">
        <f t="shared" si="0"/>
        <v>6834.0434254846723</v>
      </c>
      <c r="U7" s="110">
        <f t="shared" si="1"/>
        <v>6834.0434254846723</v>
      </c>
      <c r="V7" s="110">
        <f t="shared" si="2"/>
        <v>7094.0023230942224</v>
      </c>
      <c r="W7" s="110">
        <f t="shared" si="15"/>
        <v>1200</v>
      </c>
      <c r="X7" s="110">
        <f t="shared" si="3"/>
        <v>5634.0434254846723</v>
      </c>
      <c r="Y7" s="110">
        <f t="shared" si="4"/>
        <v>6716.4607874908988</v>
      </c>
      <c r="Z7" s="110"/>
      <c r="AA7" s="110">
        <f t="shared" si="16"/>
        <v>64</v>
      </c>
      <c r="AB7" s="110">
        <f t="shared" si="16"/>
        <v>5</v>
      </c>
      <c r="AC7" s="115">
        <v>5.2880000000000002E-3</v>
      </c>
      <c r="AD7" s="109">
        <v>50000</v>
      </c>
      <c r="AE7" s="110">
        <f t="shared" si="17"/>
        <v>957.94429984708142</v>
      </c>
      <c r="AF7" s="110">
        <f t="shared" si="18"/>
        <v>101.63554398776651</v>
      </c>
      <c r="AG7" s="110">
        <v>0.03</v>
      </c>
      <c r="AH7" s="110">
        <f t="shared" si="19"/>
        <v>0.05</v>
      </c>
      <c r="AI7" s="110">
        <f t="shared" si="20"/>
        <v>1.42</v>
      </c>
      <c r="AJ7" s="110">
        <f t="shared" si="6"/>
        <v>3447.5420409548587</v>
      </c>
      <c r="AK7" s="110">
        <f t="shared" si="7"/>
        <v>3738.5240985848118</v>
      </c>
      <c r="AL7" s="110">
        <f t="shared" si="5"/>
        <v>3447.5420409548587</v>
      </c>
      <c r="AM7" s="110">
        <f t="shared" si="21"/>
        <v>1200</v>
      </c>
      <c r="AN7" s="110">
        <f t="shared" si="8"/>
        <v>2247.5420409548587</v>
      </c>
      <c r="AO7" s="110">
        <f t="shared" si="9"/>
        <v>3387.6549521438756</v>
      </c>
    </row>
    <row r="8" spans="1:41" ht="16" x14ac:dyDescent="0.2">
      <c r="A8" s="1" t="s">
        <v>101</v>
      </c>
      <c r="B8" s="1"/>
      <c r="C8" s="1"/>
      <c r="D8" s="1"/>
      <c r="E8" s="1"/>
      <c r="F8" s="1"/>
      <c r="G8" s="1"/>
      <c r="H8" s="1"/>
      <c r="I8" s="1"/>
      <c r="K8" s="105">
        <f t="shared" si="10"/>
        <v>65</v>
      </c>
      <c r="L8" s="105">
        <f t="shared" si="10"/>
        <v>6</v>
      </c>
      <c r="M8" s="106">
        <v>5.9150000000000001E-3</v>
      </c>
      <c r="N8" s="111">
        <v>50000</v>
      </c>
      <c r="O8" s="112">
        <f t="shared" si="11"/>
        <v>1600</v>
      </c>
      <c r="P8" s="112">
        <f t="shared" si="12"/>
        <v>153</v>
      </c>
      <c r="Q8" s="123">
        <v>0.03</v>
      </c>
      <c r="R8" s="123">
        <f t="shared" si="13"/>
        <v>0.05</v>
      </c>
      <c r="S8" s="121">
        <f t="shared" si="14"/>
        <v>1.4</v>
      </c>
      <c r="T8" s="116">
        <f t="shared" si="0"/>
        <v>8394.042156749234</v>
      </c>
      <c r="U8" s="110">
        <f t="shared" si="1"/>
        <v>8394.042156749234</v>
      </c>
      <c r="V8" s="110">
        <f t="shared" si="2"/>
        <v>8670.001749752797</v>
      </c>
      <c r="W8" s="110">
        <f t="shared" si="15"/>
        <v>1000</v>
      </c>
      <c r="X8" s="110">
        <f t="shared" si="3"/>
        <v>7394.042156749234</v>
      </c>
      <c r="Y8" s="110">
        <f t="shared" si="4"/>
        <v>8209.8425647295207</v>
      </c>
      <c r="Z8" s="110"/>
      <c r="AA8" s="110">
        <f t="shared" si="16"/>
        <v>65</v>
      </c>
      <c r="AB8" s="110">
        <f t="shared" si="16"/>
        <v>6</v>
      </c>
      <c r="AC8" s="115">
        <v>5.9150000000000001E-3</v>
      </c>
      <c r="AD8" s="109">
        <v>50000</v>
      </c>
      <c r="AE8" s="110">
        <f t="shared" si="17"/>
        <v>957.94429984708142</v>
      </c>
      <c r="AF8" s="110">
        <f t="shared" si="18"/>
        <v>101.63554398776651</v>
      </c>
      <c r="AG8" s="110">
        <v>0.03</v>
      </c>
      <c r="AH8" s="110">
        <f t="shared" si="19"/>
        <v>0.05</v>
      </c>
      <c r="AI8" s="110">
        <f t="shared" si="20"/>
        <v>1.4</v>
      </c>
      <c r="AJ8" s="110">
        <f t="shared" si="6"/>
        <v>4187.5524724039897</v>
      </c>
      <c r="AK8" s="110">
        <f t="shared" si="7"/>
        <v>4506.0014809510458</v>
      </c>
      <c r="AL8" s="110">
        <f t="shared" si="5"/>
        <v>4187.5524724039897</v>
      </c>
      <c r="AM8" s="110">
        <f t="shared" si="21"/>
        <v>1000</v>
      </c>
      <c r="AN8" s="110">
        <f t="shared" si="8"/>
        <v>3187.5524724039897</v>
      </c>
      <c r="AO8" s="110">
        <f t="shared" si="9"/>
        <v>4094.3706312674281</v>
      </c>
    </row>
    <row r="9" spans="1:41" ht="16" x14ac:dyDescent="0.2">
      <c r="A9" s="1" t="s">
        <v>102</v>
      </c>
      <c r="B9" s="1"/>
      <c r="C9" s="1"/>
      <c r="D9" s="1"/>
      <c r="E9" s="1"/>
      <c r="F9" s="1"/>
      <c r="G9" s="1"/>
      <c r="H9" s="1"/>
      <c r="I9" s="1"/>
      <c r="K9" s="105">
        <f t="shared" si="10"/>
        <v>66</v>
      </c>
      <c r="L9" s="105">
        <f t="shared" si="10"/>
        <v>7</v>
      </c>
      <c r="M9" s="106">
        <v>6.6189999999999999E-3</v>
      </c>
      <c r="N9" s="111">
        <v>50000</v>
      </c>
      <c r="O9" s="112">
        <f>+O8</f>
        <v>1600</v>
      </c>
      <c r="P9" s="112">
        <f t="shared" si="12"/>
        <v>153</v>
      </c>
      <c r="Q9" s="123">
        <v>0.03</v>
      </c>
      <c r="R9" s="123">
        <f t="shared" si="13"/>
        <v>0.05</v>
      </c>
      <c r="S9" s="121">
        <f t="shared" si="14"/>
        <v>1.38</v>
      </c>
      <c r="T9" s="116">
        <f t="shared" si="0"/>
        <v>10009.288307232346</v>
      </c>
      <c r="U9" s="110">
        <f t="shared" si="1"/>
        <v>10009.288307232346</v>
      </c>
      <c r="V9" s="110">
        <f t="shared" si="2"/>
        <v>10301.398190534692</v>
      </c>
      <c r="W9" s="110">
        <f t="shared" si="15"/>
        <v>800</v>
      </c>
      <c r="X9" s="110">
        <f t="shared" si="3"/>
        <v>9209.2883072323457</v>
      </c>
      <c r="Y9" s="110">
        <f t="shared" si="4"/>
        <v>9734.8332366553186</v>
      </c>
      <c r="Z9" s="110"/>
      <c r="AA9" s="110">
        <f t="shared" si="16"/>
        <v>66</v>
      </c>
      <c r="AB9" s="110">
        <f t="shared" si="16"/>
        <v>7</v>
      </c>
      <c r="AC9" s="115">
        <v>6.6189999999999999E-3</v>
      </c>
      <c r="AD9" s="109">
        <v>50000</v>
      </c>
      <c r="AE9" s="110">
        <f t="shared" si="17"/>
        <v>957.94429984708142</v>
      </c>
      <c r="AF9" s="110">
        <f t="shared" si="18"/>
        <v>101.63554398776651</v>
      </c>
      <c r="AG9" s="110">
        <v>0.03</v>
      </c>
      <c r="AH9" s="110">
        <f t="shared" si="19"/>
        <v>0.05</v>
      </c>
      <c r="AI9" s="110">
        <f t="shared" si="20"/>
        <v>1.38</v>
      </c>
      <c r="AJ9" s="110">
        <f t="shared" si="6"/>
        <v>4931.1303393486523</v>
      </c>
      <c r="AK9" s="110">
        <f t="shared" si="7"/>
        <v>5279.8089981257754</v>
      </c>
      <c r="AL9" s="110">
        <f t="shared" si="5"/>
        <v>4931.1303393486523</v>
      </c>
      <c r="AM9" s="110">
        <f t="shared" si="21"/>
        <v>800</v>
      </c>
      <c r="AN9" s="110">
        <f t="shared" si="8"/>
        <v>4131.1303393486523</v>
      </c>
      <c r="AO9" s="110">
        <f t="shared" si="9"/>
        <v>4793.3619001724019</v>
      </c>
    </row>
    <row r="10" spans="1:41" ht="16" x14ac:dyDescent="0.2">
      <c r="A10" s="1" t="s">
        <v>103</v>
      </c>
      <c r="B10" s="1"/>
      <c r="C10" s="1"/>
      <c r="D10" s="1"/>
      <c r="E10" s="1"/>
      <c r="F10" s="1"/>
      <c r="G10" s="1"/>
      <c r="H10" s="1"/>
      <c r="I10" s="1"/>
      <c r="K10" s="105">
        <f t="shared" si="10"/>
        <v>67</v>
      </c>
      <c r="L10" s="105">
        <f t="shared" si="10"/>
        <v>8</v>
      </c>
      <c r="M10" s="106">
        <v>7.4089999999999998E-3</v>
      </c>
      <c r="N10" s="111">
        <v>50000</v>
      </c>
      <c r="O10" s="112">
        <f t="shared" si="11"/>
        <v>1600</v>
      </c>
      <c r="P10" s="112">
        <f t="shared" si="12"/>
        <v>153</v>
      </c>
      <c r="Q10" s="123">
        <v>0.03</v>
      </c>
      <c r="R10" s="123">
        <f t="shared" si="13"/>
        <v>0.05</v>
      </c>
      <c r="S10" s="121">
        <f t="shared" si="14"/>
        <v>1.3599999999999999</v>
      </c>
      <c r="T10" s="116">
        <f t="shared" si="0"/>
        <v>11681.808209438525</v>
      </c>
      <c r="U10" s="110">
        <f t="shared" si="1"/>
        <v>11681.808209438525</v>
      </c>
      <c r="V10" s="110">
        <f t="shared" si="2"/>
        <v>11989.981364393092</v>
      </c>
      <c r="W10" s="110">
        <f t="shared" si="15"/>
        <v>600</v>
      </c>
      <c r="X10" s="110">
        <f t="shared" si="3"/>
        <v>11081.808209438525</v>
      </c>
      <c r="Y10" s="110">
        <f t="shared" si="4"/>
        <v>11287.75305382789</v>
      </c>
      <c r="Z10" s="110"/>
      <c r="AA10" s="110">
        <f t="shared" si="16"/>
        <v>67</v>
      </c>
      <c r="AB10" s="110">
        <f t="shared" si="16"/>
        <v>8</v>
      </c>
      <c r="AC10" s="115">
        <v>7.4089999999999998E-3</v>
      </c>
      <c r="AD10" s="109">
        <v>50000</v>
      </c>
      <c r="AE10" s="110">
        <f t="shared" si="17"/>
        <v>957.94429984708142</v>
      </c>
      <c r="AF10" s="110">
        <f t="shared" si="18"/>
        <v>101.63554398776651</v>
      </c>
      <c r="AG10" s="110">
        <v>0.03</v>
      </c>
      <c r="AH10" s="110">
        <f t="shared" si="19"/>
        <v>0.05</v>
      </c>
      <c r="AI10" s="110">
        <f t="shared" si="20"/>
        <v>1.3599999999999999</v>
      </c>
      <c r="AJ10" s="110">
        <f t="shared" si="6"/>
        <v>5675.0748884236064</v>
      </c>
      <c r="AK10" s="110">
        <f t="shared" si="7"/>
        <v>6057.0478883022597</v>
      </c>
      <c r="AL10" s="110">
        <f t="shared" si="5"/>
        <v>5675.0748884236064</v>
      </c>
      <c r="AM10" s="110">
        <f t="shared" si="21"/>
        <v>600</v>
      </c>
      <c r="AN10" s="110">
        <f t="shared" si="8"/>
        <v>5075.0748884236064</v>
      </c>
      <c r="AO10" s="110">
        <f t="shared" si="9"/>
        <v>5478.9823441731096</v>
      </c>
    </row>
    <row r="11" spans="1:41" ht="16" x14ac:dyDescent="0.2">
      <c r="A11" s="1" t="s">
        <v>104</v>
      </c>
      <c r="B11" s="1"/>
      <c r="C11" s="1"/>
      <c r="D11" s="1"/>
      <c r="E11" s="1"/>
      <c r="F11" s="1"/>
      <c r="G11" s="1"/>
      <c r="H11" s="1"/>
      <c r="I11" s="1"/>
      <c r="K11" s="105">
        <f t="shared" si="10"/>
        <v>68</v>
      </c>
      <c r="L11" s="105">
        <f t="shared" si="10"/>
        <v>9</v>
      </c>
      <c r="M11" s="106">
        <v>8.2970000000000006E-3</v>
      </c>
      <c r="N11" s="111">
        <v>50000</v>
      </c>
      <c r="O11" s="112">
        <f t="shared" si="11"/>
        <v>1600</v>
      </c>
      <c r="P11" s="112">
        <f t="shared" si="12"/>
        <v>153</v>
      </c>
      <c r="Q11" s="123">
        <v>0.03</v>
      </c>
      <c r="R11" s="123">
        <f t="shared" si="13"/>
        <v>0.05</v>
      </c>
      <c r="S11" s="121">
        <f t="shared" si="14"/>
        <v>1.3399999999999999</v>
      </c>
      <c r="T11" s="116">
        <f t="shared" si="0"/>
        <v>13413.909749602184</v>
      </c>
      <c r="U11" s="110">
        <f t="shared" si="1"/>
        <v>13413.909749602184</v>
      </c>
      <c r="V11" s="110">
        <f t="shared" si="2"/>
        <v>13737.840601743761</v>
      </c>
      <c r="W11" s="110">
        <f t="shared" si="15"/>
        <v>400</v>
      </c>
      <c r="X11" s="110">
        <f t="shared" si="3"/>
        <v>13013.909749602184</v>
      </c>
      <c r="Y11" s="110">
        <f t="shared" si="4"/>
        <v>12864.004298752294</v>
      </c>
      <c r="Z11" s="110"/>
      <c r="AA11" s="110">
        <f t="shared" si="16"/>
        <v>68</v>
      </c>
      <c r="AB11" s="110">
        <f t="shared" si="16"/>
        <v>9</v>
      </c>
      <c r="AC11" s="115">
        <v>8.2970000000000006E-3</v>
      </c>
      <c r="AD11" s="109">
        <v>50000</v>
      </c>
      <c r="AE11" s="110">
        <f t="shared" si="17"/>
        <v>957.94429984708142</v>
      </c>
      <c r="AF11" s="110">
        <f t="shared" si="18"/>
        <v>101.63554398776651</v>
      </c>
      <c r="AG11" s="110">
        <v>0.03</v>
      </c>
      <c r="AH11" s="110">
        <f t="shared" si="19"/>
        <v>0.05</v>
      </c>
      <c r="AI11" s="110">
        <f t="shared" si="20"/>
        <v>1.3399999999999999</v>
      </c>
      <c r="AJ11" s="110">
        <f t="shared" si="6"/>
        <v>6415.5828405194125</v>
      </c>
      <c r="AK11" s="110">
        <f t="shared" si="7"/>
        <v>6834.3680540240275</v>
      </c>
      <c r="AL11" s="110">
        <f t="shared" si="5"/>
        <v>6415.5828405194125</v>
      </c>
      <c r="AM11" s="110">
        <f t="shared" si="21"/>
        <v>400</v>
      </c>
      <c r="AN11" s="110">
        <f t="shared" si="8"/>
        <v>6015.5828405194125</v>
      </c>
      <c r="AO11" s="110">
        <f t="shared" si="9"/>
        <v>6144.5692472670562</v>
      </c>
    </row>
    <row r="12" spans="1:41" ht="16" x14ac:dyDescent="0.2">
      <c r="A12" s="1" t="s">
        <v>105</v>
      </c>
      <c r="B12" s="1"/>
      <c r="C12" s="1"/>
      <c r="D12" s="1"/>
      <c r="E12" s="1"/>
      <c r="F12" s="1"/>
      <c r="G12" s="1"/>
      <c r="H12" s="1"/>
      <c r="I12" s="1"/>
      <c r="K12" s="105">
        <f t="shared" si="10"/>
        <v>69</v>
      </c>
      <c r="L12" s="105">
        <f t="shared" si="10"/>
        <v>10</v>
      </c>
      <c r="M12" s="106">
        <v>9.2940000000000002E-3</v>
      </c>
      <c r="N12" s="111">
        <v>50000</v>
      </c>
      <c r="O12" s="112">
        <f t="shared" si="11"/>
        <v>1600</v>
      </c>
      <c r="P12" s="112">
        <f t="shared" si="12"/>
        <v>153</v>
      </c>
      <c r="Q12" s="123">
        <v>0.03</v>
      </c>
      <c r="R12" s="123">
        <f t="shared" si="13"/>
        <v>0.05</v>
      </c>
      <c r="S12" s="121">
        <f t="shared" si="14"/>
        <v>1.3199999999999998</v>
      </c>
      <c r="T12" s="116">
        <f t="shared" si="0"/>
        <v>15208.397004673958</v>
      </c>
      <c r="U12" s="110">
        <f t="shared" si="1"/>
        <v>15208.397004673958</v>
      </c>
      <c r="V12" s="110">
        <f t="shared" si="2"/>
        <v>15547.390798371342</v>
      </c>
      <c r="W12" s="110">
        <f t="shared" si="15"/>
        <v>200</v>
      </c>
      <c r="X12" s="110">
        <f t="shared" si="3"/>
        <v>15008.397004673958</v>
      </c>
      <c r="Y12" s="110">
        <f t="shared" si="4"/>
        <v>14458.086552524861</v>
      </c>
      <c r="Z12" s="110"/>
      <c r="AA12" s="110">
        <f t="shared" si="16"/>
        <v>69</v>
      </c>
      <c r="AB12" s="110">
        <f t="shared" si="16"/>
        <v>10</v>
      </c>
      <c r="AC12" s="115">
        <v>9.2940000000000002E-3</v>
      </c>
      <c r="AD12" s="109">
        <v>50000</v>
      </c>
      <c r="AE12" s="110">
        <f t="shared" si="17"/>
        <v>957.94429984708142</v>
      </c>
      <c r="AF12" s="110">
        <f t="shared" si="18"/>
        <v>101.63554398776651</v>
      </c>
      <c r="AG12" s="110">
        <v>0.03</v>
      </c>
      <c r="AH12" s="110">
        <f t="shared" si="19"/>
        <v>0.05</v>
      </c>
      <c r="AI12" s="110">
        <f t="shared" si="20"/>
        <v>1.3199999999999998</v>
      </c>
      <c r="AJ12" s="110">
        <f t="shared" si="6"/>
        <v>7148.2896883314743</v>
      </c>
      <c r="AK12" s="110">
        <f t="shared" si="7"/>
        <v>7607.8074893980847</v>
      </c>
      <c r="AL12" s="110">
        <f t="shared" si="5"/>
        <v>7148.2896883314743</v>
      </c>
      <c r="AM12" s="110">
        <f t="shared" si="21"/>
        <v>200</v>
      </c>
      <c r="AN12" s="110">
        <f t="shared" si="8"/>
        <v>6948.2896883314743</v>
      </c>
      <c r="AO12" s="110">
        <f t="shared" si="9"/>
        <v>6782.4539421176414</v>
      </c>
    </row>
    <row r="13" spans="1:41" ht="16" x14ac:dyDescent="0.2">
      <c r="A13" s="1" t="s">
        <v>106</v>
      </c>
      <c r="B13" s="1"/>
      <c r="C13" s="1"/>
      <c r="D13" s="1"/>
      <c r="E13" s="1"/>
      <c r="F13" s="1"/>
      <c r="G13" s="1"/>
      <c r="H13" s="1"/>
      <c r="I13" s="1"/>
      <c r="K13" s="105">
        <f t="shared" si="10"/>
        <v>70</v>
      </c>
      <c r="L13" s="105">
        <f t="shared" si="10"/>
        <v>11</v>
      </c>
      <c r="M13" s="106">
        <v>1.0413E-2</v>
      </c>
      <c r="N13" s="111">
        <v>50000</v>
      </c>
      <c r="O13" s="112">
        <f t="shared" si="11"/>
        <v>1600</v>
      </c>
      <c r="P13" s="112">
        <v>25</v>
      </c>
      <c r="Q13" s="123">
        <v>0.03</v>
      </c>
      <c r="R13" s="123">
        <f t="shared" si="13"/>
        <v>0.05</v>
      </c>
      <c r="S13" s="121">
        <f t="shared" si="14"/>
        <v>1.2999999999999998</v>
      </c>
      <c r="T13" s="116">
        <f t="shared" si="0"/>
        <v>17204.81413577242</v>
      </c>
      <c r="U13" s="110">
        <f t="shared" si="1"/>
        <v>17204.81413577242</v>
      </c>
      <c r="V13" s="110">
        <f t="shared" si="2"/>
        <v>17555.479119820051</v>
      </c>
      <c r="W13" s="110"/>
      <c r="X13" s="110">
        <f t="shared" si="3"/>
        <v>17204.81413577242</v>
      </c>
      <c r="Y13" s="110">
        <f t="shared" si="4"/>
        <v>16197.829229665669</v>
      </c>
      <c r="Z13" s="110"/>
      <c r="AA13" s="110">
        <f t="shared" si="16"/>
        <v>70</v>
      </c>
      <c r="AB13" s="110">
        <f t="shared" si="16"/>
        <v>11</v>
      </c>
      <c r="AC13" s="115">
        <v>1.0413E-2</v>
      </c>
      <c r="AD13" s="109">
        <v>50000</v>
      </c>
      <c r="AE13" s="110">
        <f t="shared" si="17"/>
        <v>957.94429984708142</v>
      </c>
      <c r="AF13" s="110">
        <v>25</v>
      </c>
      <c r="AG13" s="110">
        <v>0.03</v>
      </c>
      <c r="AH13" s="110">
        <f t="shared" si="19"/>
        <v>0.05</v>
      </c>
      <c r="AI13" s="110">
        <f t="shared" si="20"/>
        <v>1.2999999999999998</v>
      </c>
      <c r="AJ13" s="110">
        <f t="shared" si="6"/>
        <v>7949.6485121956803</v>
      </c>
      <c r="AK13" s="110">
        <f t="shared" si="7"/>
        <v>8452.9928298984905</v>
      </c>
      <c r="AL13" s="110">
        <f t="shared" si="5"/>
        <v>7949.6485121956803</v>
      </c>
      <c r="AM13" s="110"/>
      <c r="AN13" s="110">
        <f t="shared" si="8"/>
        <v>7949.6485121956803</v>
      </c>
      <c r="AO13" s="110">
        <f t="shared" si="9"/>
        <v>7464.2565035775224</v>
      </c>
    </row>
    <row r="14" spans="1:41" ht="16" x14ac:dyDescent="0.2">
      <c r="A14" s="1" t="s">
        <v>107</v>
      </c>
      <c r="B14" s="1"/>
      <c r="C14" s="1"/>
      <c r="D14" s="1"/>
      <c r="E14" s="1"/>
      <c r="F14" s="1"/>
      <c r="G14" s="1"/>
      <c r="H14" s="1"/>
      <c r="I14" s="1"/>
      <c r="K14" s="105">
        <f t="shared" si="10"/>
        <v>71</v>
      </c>
      <c r="L14" s="105">
        <f t="shared" si="10"/>
        <v>12</v>
      </c>
      <c r="M14" s="106">
        <v>1.167E-2</v>
      </c>
      <c r="N14" s="111">
        <v>50000</v>
      </c>
      <c r="O14" s="112">
        <f t="shared" si="11"/>
        <v>1600</v>
      </c>
      <c r="P14" s="112">
        <v>25</v>
      </c>
      <c r="Q14" s="123">
        <v>0.03</v>
      </c>
      <c r="R14" s="123">
        <f t="shared" si="13"/>
        <v>0.05</v>
      </c>
      <c r="S14" s="121">
        <f t="shared" si="14"/>
        <v>1.2799999999999998</v>
      </c>
      <c r="T14" s="116">
        <f t="shared" si="0"/>
        <v>19280.252107649685</v>
      </c>
      <c r="U14" s="110">
        <f t="shared" si="1"/>
        <v>19280.252107649685</v>
      </c>
      <c r="V14" s="110">
        <f t="shared" si="2"/>
        <v>19640.29750129387</v>
      </c>
      <c r="W14" s="110"/>
      <c r="X14" s="110">
        <f t="shared" si="3"/>
        <v>19280.252107649685</v>
      </c>
      <c r="Y14" s="110">
        <f t="shared" si="4"/>
        <v>17947.674574644101</v>
      </c>
      <c r="Z14" s="110"/>
      <c r="AA14" s="110">
        <f t="shared" si="16"/>
        <v>71</v>
      </c>
      <c r="AB14" s="110">
        <f t="shared" si="16"/>
        <v>12</v>
      </c>
      <c r="AC14" s="115">
        <v>1.167E-2</v>
      </c>
      <c r="AD14" s="109">
        <v>50000</v>
      </c>
      <c r="AE14" s="110">
        <f t="shared" si="17"/>
        <v>957.94429984708142</v>
      </c>
      <c r="AF14" s="110">
        <v>25</v>
      </c>
      <c r="AG14" s="110">
        <v>0.03</v>
      </c>
      <c r="AH14" s="110">
        <f t="shared" si="19"/>
        <v>0.05</v>
      </c>
      <c r="AI14" s="110">
        <f t="shared" si="20"/>
        <v>1.2799999999999998</v>
      </c>
      <c r="AJ14" s="110">
        <f t="shared" si="6"/>
        <v>8737.6645566979078</v>
      </c>
      <c r="AK14" s="110">
        <f t="shared" si="7"/>
        <v>9289.5895640981471</v>
      </c>
      <c r="AL14" s="110">
        <f t="shared" si="5"/>
        <v>8737.6645566979078</v>
      </c>
      <c r="AM14" s="110"/>
      <c r="AN14" s="110">
        <f t="shared" si="8"/>
        <v>8737.6645566979078</v>
      </c>
      <c r="AO14" s="110">
        <f t="shared" si="9"/>
        <v>8103.2647270909811</v>
      </c>
    </row>
    <row r="15" spans="1:41" ht="18" x14ac:dyDescent="0.25">
      <c r="A15" s="1" t="s">
        <v>119</v>
      </c>
      <c r="B15" s="1"/>
      <c r="C15" s="1"/>
      <c r="D15" s="1"/>
      <c r="E15" s="1"/>
      <c r="F15" s="1"/>
      <c r="G15" s="1"/>
      <c r="H15" s="1"/>
      <c r="I15" s="1"/>
      <c r="K15" s="105">
        <f t="shared" si="10"/>
        <v>72</v>
      </c>
      <c r="L15" s="105">
        <f t="shared" si="10"/>
        <v>13</v>
      </c>
      <c r="M15" s="106">
        <v>1.3081000000000001E-2</v>
      </c>
      <c r="N15" s="111">
        <v>50000</v>
      </c>
      <c r="O15" s="112">
        <f t="shared" si="11"/>
        <v>1600</v>
      </c>
      <c r="P15" s="112">
        <v>25</v>
      </c>
      <c r="Q15" s="123">
        <v>0.03</v>
      </c>
      <c r="R15" s="123">
        <f t="shared" si="13"/>
        <v>0.05</v>
      </c>
      <c r="S15" s="121">
        <f t="shared" si="14"/>
        <v>1.2599999999999998</v>
      </c>
      <c r="T15" s="116">
        <f t="shared" si="0"/>
        <v>21441.013816117684</v>
      </c>
      <c r="U15" s="110">
        <f t="shared" si="1"/>
        <v>21441.013816117684</v>
      </c>
      <c r="V15" s="110">
        <f t="shared" si="2"/>
        <v>21807.285067363704</v>
      </c>
      <c r="W15" s="110"/>
      <c r="X15" s="110">
        <f t="shared" si="3"/>
        <v>21441.013816117684</v>
      </c>
      <c r="Y15" s="110">
        <f t="shared" si="4"/>
        <v>19698.708303376308</v>
      </c>
      <c r="Z15" s="110"/>
      <c r="AA15" s="110">
        <f t="shared" si="16"/>
        <v>72</v>
      </c>
      <c r="AB15" s="110">
        <f t="shared" si="16"/>
        <v>13</v>
      </c>
      <c r="AC15" s="115">
        <v>1.3081000000000001E-2</v>
      </c>
      <c r="AD15" s="109">
        <v>50000</v>
      </c>
      <c r="AE15" s="110">
        <f t="shared" si="17"/>
        <v>957.94429984708142</v>
      </c>
      <c r="AF15" s="110">
        <v>25</v>
      </c>
      <c r="AG15" s="110">
        <v>0.03</v>
      </c>
      <c r="AH15" s="110">
        <f t="shared" si="19"/>
        <v>0.05</v>
      </c>
      <c r="AI15" s="110">
        <f t="shared" si="20"/>
        <v>1.2599999999999998</v>
      </c>
      <c r="AJ15" s="110">
        <f t="shared" si="6"/>
        <v>9506.1568208189856</v>
      </c>
      <c r="AK15" s="110">
        <f t="shared" si="7"/>
        <v>10112.067838887195</v>
      </c>
      <c r="AL15" s="110">
        <f t="shared" si="5"/>
        <v>9506.1568208189856</v>
      </c>
      <c r="AM15" s="110"/>
      <c r="AN15" s="110">
        <f t="shared" si="8"/>
        <v>9506.1568208189856</v>
      </c>
      <c r="AO15" s="110">
        <f t="shared" si="9"/>
        <v>8687.9194782849663</v>
      </c>
    </row>
    <row r="16" spans="1:41" ht="18" x14ac:dyDescent="0.25">
      <c r="A16" s="1" t="s">
        <v>120</v>
      </c>
      <c r="B16" s="1"/>
      <c r="C16" s="1"/>
      <c r="D16" s="1"/>
      <c r="E16" s="1"/>
      <c r="F16" s="1"/>
      <c r="G16" s="1"/>
      <c r="H16" s="1"/>
      <c r="I16" s="1"/>
      <c r="K16" s="105">
        <f t="shared" si="10"/>
        <v>73</v>
      </c>
      <c r="L16" s="105">
        <f t="shared" si="10"/>
        <v>14</v>
      </c>
      <c r="M16" s="106">
        <v>1.4664E-2</v>
      </c>
      <c r="N16" s="111">
        <v>50000</v>
      </c>
      <c r="O16" s="112">
        <f t="shared" si="11"/>
        <v>1600</v>
      </c>
      <c r="P16" s="112">
        <v>25</v>
      </c>
      <c r="Q16" s="123">
        <v>0.03</v>
      </c>
      <c r="R16" s="123">
        <f t="shared" si="13"/>
        <v>0.05</v>
      </c>
      <c r="S16" s="121">
        <f>+S15-0.02</f>
        <v>1.2399999999999998</v>
      </c>
      <c r="T16" s="116">
        <f t="shared" si="0"/>
        <v>23694.941599896694</v>
      </c>
      <c r="U16" s="110">
        <f t="shared" si="1"/>
        <v>23694.941599896694</v>
      </c>
      <c r="V16" s="110">
        <f t="shared" si="2"/>
        <v>24063.216668099845</v>
      </c>
      <c r="W16" s="110"/>
      <c r="X16" s="110">
        <f t="shared" si="3"/>
        <v>23694.941599896694</v>
      </c>
      <c r="Y16" s="110">
        <f t="shared" si="4"/>
        <v>21440.469446700467</v>
      </c>
      <c r="Z16" s="110"/>
      <c r="AA16" s="110">
        <f t="shared" si="16"/>
        <v>73</v>
      </c>
      <c r="AB16" s="110">
        <f t="shared" si="16"/>
        <v>14</v>
      </c>
      <c r="AC16" s="115">
        <v>1.4664E-2</v>
      </c>
      <c r="AD16" s="109">
        <v>50000</v>
      </c>
      <c r="AE16" s="110">
        <f t="shared" si="17"/>
        <v>957.94429984708142</v>
      </c>
      <c r="AF16" s="110">
        <v>25</v>
      </c>
      <c r="AG16" s="110">
        <v>0.03</v>
      </c>
      <c r="AH16" s="110">
        <f t="shared" si="19"/>
        <v>0.05</v>
      </c>
      <c r="AI16" s="110">
        <f>+AI15-0.02</f>
        <v>1.2399999999999998</v>
      </c>
      <c r="AJ16" s="110">
        <f t="shared" si="6"/>
        <v>10247.964873495708</v>
      </c>
      <c r="AK16" s="110">
        <f t="shared" si="7"/>
        <v>10914.068530445616</v>
      </c>
      <c r="AL16" s="110">
        <f t="shared" si="5"/>
        <v>10247.964873495708</v>
      </c>
      <c r="AM16" s="110"/>
      <c r="AN16" s="110">
        <f t="shared" si="8"/>
        <v>10247.964873495708</v>
      </c>
      <c r="AO16" s="110">
        <f t="shared" si="9"/>
        <v>9204.9826951939922</v>
      </c>
    </row>
    <row r="17" spans="1:41" ht="16" x14ac:dyDescent="0.2">
      <c r="A17" s="1" t="s">
        <v>146</v>
      </c>
      <c r="B17" s="1"/>
      <c r="C17" s="1"/>
      <c r="D17" s="1"/>
      <c r="E17" s="1"/>
      <c r="F17" s="1"/>
      <c r="G17" s="1"/>
      <c r="H17" s="1"/>
      <c r="I17" s="1"/>
      <c r="K17" s="105">
        <f t="shared" si="10"/>
        <v>74</v>
      </c>
      <c r="L17" s="105">
        <f t="shared" si="10"/>
        <v>15</v>
      </c>
      <c r="M17" s="106">
        <v>1.644E-2</v>
      </c>
      <c r="N17" s="111">
        <v>50000</v>
      </c>
      <c r="O17" s="112">
        <f t="shared" si="11"/>
        <v>1600</v>
      </c>
      <c r="P17" s="112">
        <v>25</v>
      </c>
      <c r="Q17" s="123">
        <v>0.03</v>
      </c>
      <c r="R17" s="123">
        <f t="shared" si="13"/>
        <v>0.05</v>
      </c>
      <c r="S17" s="121">
        <f t="shared" si="14"/>
        <v>1.2199999999999998</v>
      </c>
      <c r="T17" s="116">
        <f t="shared" si="0"/>
        <v>26051.815105940554</v>
      </c>
      <c r="U17" s="110">
        <f t="shared" si="1"/>
        <v>26051.815105940554</v>
      </c>
      <c r="V17" s="110">
        <f t="shared" si="2"/>
        <v>26416.560327083127</v>
      </c>
      <c r="W17" s="110"/>
      <c r="X17" s="110">
        <f t="shared" si="3"/>
        <v>26051.815105940554</v>
      </c>
      <c r="Y17" s="110">
        <f t="shared" si="4"/>
        <v>23160.689520977237</v>
      </c>
      <c r="Z17" s="110"/>
      <c r="AA17" s="110">
        <f t="shared" si="16"/>
        <v>74</v>
      </c>
      <c r="AB17" s="110">
        <f t="shared" si="16"/>
        <v>15</v>
      </c>
      <c r="AC17" s="115">
        <v>1.644E-2</v>
      </c>
      <c r="AD17" s="109">
        <v>50000</v>
      </c>
      <c r="AE17" s="110">
        <f t="shared" si="17"/>
        <v>957.94429984708142</v>
      </c>
      <c r="AF17" s="110">
        <v>25</v>
      </c>
      <c r="AG17" s="110">
        <v>0.03</v>
      </c>
      <c r="AH17" s="110">
        <f t="shared" si="19"/>
        <v>0.05</v>
      </c>
      <c r="AI17" s="110">
        <f t="shared" ref="AI17:AI27" si="22">+AI16-0.02</f>
        <v>1.2199999999999998</v>
      </c>
      <c r="AJ17" s="110">
        <f t="shared" si="6"/>
        <v>10954.712195408541</v>
      </c>
      <c r="AK17" s="110">
        <f t="shared" si="7"/>
        <v>11688.240771021585</v>
      </c>
      <c r="AL17" s="110">
        <f t="shared" si="5"/>
        <v>10954.712195408541</v>
      </c>
      <c r="AM17" s="110"/>
      <c r="AN17" s="110">
        <f t="shared" si="8"/>
        <v>10954.712195408541</v>
      </c>
      <c r="AO17" s="110">
        <f t="shared" si="9"/>
        <v>9639.2699467348757</v>
      </c>
    </row>
    <row r="18" spans="1:41" ht="16" x14ac:dyDescent="0.2">
      <c r="A18" s="1" t="s">
        <v>108</v>
      </c>
      <c r="B18" s="1"/>
      <c r="C18" s="1"/>
      <c r="D18" s="1"/>
      <c r="E18" s="1"/>
      <c r="F18" s="1"/>
      <c r="G18" s="1"/>
      <c r="H18" s="1"/>
      <c r="I18" s="1"/>
      <c r="K18" s="105">
        <f t="shared" si="10"/>
        <v>75</v>
      </c>
      <c r="L18" s="105">
        <f t="shared" si="10"/>
        <v>16</v>
      </c>
      <c r="M18" s="106">
        <v>1.8433000000000001E-2</v>
      </c>
      <c r="N18" s="111">
        <v>50000</v>
      </c>
      <c r="O18" s="112">
        <f t="shared" si="11"/>
        <v>1600</v>
      </c>
      <c r="P18" s="112">
        <v>25</v>
      </c>
      <c r="Q18" s="123">
        <v>0.03</v>
      </c>
      <c r="R18" s="123">
        <f t="shared" si="13"/>
        <v>0.05</v>
      </c>
      <c r="S18" s="121">
        <f t="shared" si="14"/>
        <v>1.1999999999999997</v>
      </c>
      <c r="T18" s="116">
        <f t="shared" si="0"/>
        <v>28523.888734752229</v>
      </c>
      <c r="U18" s="110">
        <f t="shared" si="1"/>
        <v>28523.888734752229</v>
      </c>
      <c r="V18" s="110">
        <f t="shared" si="2"/>
        <v>28877.921593624673</v>
      </c>
      <c r="W18" s="110"/>
      <c r="X18" s="110">
        <f t="shared" si="3"/>
        <v>28523.888734752229</v>
      </c>
      <c r="Y18" s="110">
        <f t="shared" si="4"/>
        <v>24845.018657220273</v>
      </c>
      <c r="Z18" s="110"/>
      <c r="AA18" s="110">
        <f t="shared" si="16"/>
        <v>75</v>
      </c>
      <c r="AB18" s="110">
        <f t="shared" si="16"/>
        <v>16</v>
      </c>
      <c r="AC18" s="115">
        <v>1.8433000000000001E-2</v>
      </c>
      <c r="AD18" s="109">
        <v>50000</v>
      </c>
      <c r="AE18" s="110">
        <f t="shared" si="17"/>
        <v>957.94429984708142</v>
      </c>
      <c r="AF18" s="110">
        <v>25</v>
      </c>
      <c r="AG18" s="110">
        <v>0.03</v>
      </c>
      <c r="AH18" s="110">
        <f t="shared" si="19"/>
        <v>0.05</v>
      </c>
      <c r="AI18" s="110">
        <f t="shared" si="22"/>
        <v>1.1999999999999997</v>
      </c>
      <c r="AJ18" s="110">
        <f t="shared" si="6"/>
        <v>11616.526271713337</v>
      </c>
      <c r="AK18" s="110">
        <f t="shared" si="7"/>
        <v>12426.000278552474</v>
      </c>
      <c r="AL18" s="110">
        <f t="shared" si="5"/>
        <v>11616.526271713337</v>
      </c>
      <c r="AM18" s="110"/>
      <c r="AN18" s="110">
        <f t="shared" si="8"/>
        <v>11616.526271713337</v>
      </c>
      <c r="AO18" s="110">
        <f t="shared" si="9"/>
        <v>9973.3696191052313</v>
      </c>
    </row>
    <row r="19" spans="1:41" ht="16" x14ac:dyDescent="0.2">
      <c r="A19" s="1" t="s">
        <v>128</v>
      </c>
      <c r="B19" s="1"/>
      <c r="C19" s="1"/>
      <c r="D19" s="1"/>
      <c r="E19" s="1"/>
      <c r="F19" s="1"/>
      <c r="G19" s="1"/>
      <c r="H19" s="1"/>
      <c r="I19" s="1"/>
      <c r="K19" s="105">
        <f t="shared" si="10"/>
        <v>76</v>
      </c>
      <c r="L19" s="105">
        <f t="shared" si="10"/>
        <v>17</v>
      </c>
      <c r="M19" s="106">
        <v>2.0667999999999999E-2</v>
      </c>
      <c r="N19" s="111">
        <v>50000</v>
      </c>
      <c r="O19" s="112">
        <f t="shared" si="11"/>
        <v>1600</v>
      </c>
      <c r="P19" s="112">
        <v>25</v>
      </c>
      <c r="Q19" s="123">
        <v>0.03</v>
      </c>
      <c r="R19" s="123">
        <f t="shared" si="13"/>
        <v>0.05</v>
      </c>
      <c r="S19" s="121">
        <f t="shared" si="14"/>
        <v>1.1799999999999997</v>
      </c>
      <c r="T19" s="116">
        <f t="shared" si="0"/>
        <v>31126.65490598707</v>
      </c>
      <c r="U19" s="110">
        <f t="shared" si="1"/>
        <v>31126.65490598707</v>
      </c>
      <c r="V19" s="110">
        <f t="shared" si="2"/>
        <v>31460.656566479211</v>
      </c>
      <c r="W19" s="110"/>
      <c r="X19" s="110">
        <f t="shared" si="3"/>
        <v>31126.65490598707</v>
      </c>
      <c r="Y19" s="110">
        <f t="shared" si="4"/>
        <v>26476.860366780318</v>
      </c>
      <c r="Z19" s="110"/>
      <c r="AA19" s="110">
        <f t="shared" si="16"/>
        <v>76</v>
      </c>
      <c r="AB19" s="110">
        <f t="shared" si="16"/>
        <v>17</v>
      </c>
      <c r="AC19" s="115">
        <v>2.0667999999999999E-2</v>
      </c>
      <c r="AD19" s="109">
        <v>50000</v>
      </c>
      <c r="AE19" s="110">
        <f t="shared" si="17"/>
        <v>957.94429984708142</v>
      </c>
      <c r="AF19" s="110">
        <v>25</v>
      </c>
      <c r="AG19" s="110">
        <v>0.03</v>
      </c>
      <c r="AH19" s="110">
        <f t="shared" si="19"/>
        <v>0.05</v>
      </c>
      <c r="AI19" s="110">
        <f t="shared" si="22"/>
        <v>1.1799999999999997</v>
      </c>
      <c r="AJ19" s="110">
        <f t="shared" si="6"/>
        <v>12221.790664718625</v>
      </c>
      <c r="AK19" s="110">
        <f t="shared" si="7"/>
        <v>13117.2478566342</v>
      </c>
      <c r="AL19" s="110">
        <f t="shared" si="5"/>
        <v>12221.790664718625</v>
      </c>
      <c r="AM19" s="110"/>
      <c r="AN19" s="110">
        <f t="shared" si="8"/>
        <v>12221.790664718625</v>
      </c>
      <c r="AO19" s="110">
        <f t="shared" si="9"/>
        <v>10187.470391598958</v>
      </c>
    </row>
    <row r="20" spans="1:41" ht="16" x14ac:dyDescent="0.2">
      <c r="A20" s="1" t="s">
        <v>130</v>
      </c>
      <c r="B20" s="1"/>
      <c r="C20" s="1"/>
      <c r="D20" s="1"/>
      <c r="E20" s="1"/>
      <c r="F20" s="1"/>
      <c r="G20" s="1"/>
      <c r="H20" s="1"/>
      <c r="I20" s="1"/>
      <c r="K20" s="105">
        <f t="shared" si="10"/>
        <v>77</v>
      </c>
      <c r="L20" s="105">
        <f t="shared" si="10"/>
        <v>18</v>
      </c>
      <c r="M20" s="106">
        <v>2.3175000000000001E-2</v>
      </c>
      <c r="N20" s="111">
        <v>50000</v>
      </c>
      <c r="O20" s="112">
        <f t="shared" si="11"/>
        <v>1600</v>
      </c>
      <c r="P20" s="112">
        <v>25</v>
      </c>
      <c r="Q20" s="123">
        <v>0.03</v>
      </c>
      <c r="R20" s="123">
        <f t="shared" si="13"/>
        <v>0.05</v>
      </c>
      <c r="S20" s="121">
        <f t="shared" si="14"/>
        <v>1.1599999999999997</v>
      </c>
      <c r="T20" s="116">
        <f t="shared" si="0"/>
        <v>33879.727938338321</v>
      </c>
      <c r="U20" s="110">
        <f t="shared" si="1"/>
        <v>33879.727938338321</v>
      </c>
      <c r="V20" s="110">
        <f t="shared" si="2"/>
        <v>34181.689507679592</v>
      </c>
      <c r="W20" s="110"/>
      <c r="X20" s="110">
        <f t="shared" si="3"/>
        <v>33879.727938338321</v>
      </c>
      <c r="Y20" s="110">
        <f t="shared" si="4"/>
        <v>28036.953385119334</v>
      </c>
      <c r="Z20" s="110"/>
      <c r="AA20" s="110">
        <f t="shared" si="16"/>
        <v>77</v>
      </c>
      <c r="AB20" s="110">
        <f t="shared" si="16"/>
        <v>18</v>
      </c>
      <c r="AC20" s="115">
        <v>2.3175000000000001E-2</v>
      </c>
      <c r="AD20" s="109">
        <v>50000</v>
      </c>
      <c r="AE20" s="110">
        <f t="shared" si="17"/>
        <v>957.94429984708142</v>
      </c>
      <c r="AF20" s="110">
        <v>25</v>
      </c>
      <c r="AG20" s="110">
        <v>0.03</v>
      </c>
      <c r="AH20" s="110">
        <f t="shared" si="19"/>
        <v>0.05</v>
      </c>
      <c r="AI20" s="110">
        <f t="shared" si="22"/>
        <v>1.1599999999999997</v>
      </c>
      <c r="AJ20" s="110">
        <f t="shared" si="6"/>
        <v>12756.621944932838</v>
      </c>
      <c r="AK20" s="110">
        <f t="shared" si="7"/>
        <v>13750.101253508079</v>
      </c>
      <c r="AL20" s="110">
        <f t="shared" si="5"/>
        <v>12756.621944932838</v>
      </c>
      <c r="AM20" s="110"/>
      <c r="AN20" s="110">
        <f t="shared" si="8"/>
        <v>12756.621944932838</v>
      </c>
      <c r="AO20" s="110">
        <f t="shared" si="9"/>
        <v>10258.935426018343</v>
      </c>
    </row>
    <row r="21" spans="1:41" ht="16" x14ac:dyDescent="0.2">
      <c r="A21" s="1" t="s">
        <v>126</v>
      </c>
      <c r="B21" s="1"/>
      <c r="C21" s="1"/>
      <c r="D21" s="1"/>
      <c r="E21" s="1"/>
      <c r="F21" s="1"/>
      <c r="G21" s="1"/>
      <c r="H21" s="1"/>
      <c r="I21" s="1"/>
      <c r="K21" s="105">
        <f t="shared" ref="K21:L32" si="23">+K20+1</f>
        <v>78</v>
      </c>
      <c r="L21" s="105">
        <f t="shared" si="23"/>
        <v>19</v>
      </c>
      <c r="M21" s="106">
        <v>2.5984E-2</v>
      </c>
      <c r="N21" s="111">
        <v>50000</v>
      </c>
      <c r="O21" s="112">
        <f t="shared" si="11"/>
        <v>1600</v>
      </c>
      <c r="P21" s="112">
        <v>25</v>
      </c>
      <c r="Q21" s="123">
        <v>0.03</v>
      </c>
      <c r="R21" s="123">
        <f t="shared" si="13"/>
        <v>0.05</v>
      </c>
      <c r="S21" s="121">
        <f t="shared" si="14"/>
        <v>1.1399999999999997</v>
      </c>
      <c r="T21" s="116">
        <f t="shared" si="0"/>
        <v>36808.144692467111</v>
      </c>
      <c r="U21" s="110">
        <f t="shared" si="1"/>
        <v>36808.144692467111</v>
      </c>
      <c r="V21" s="110">
        <f t="shared" si="2"/>
        <v>37062.533269920037</v>
      </c>
      <c r="W21" s="110"/>
      <c r="X21" s="110">
        <f t="shared" si="3"/>
        <v>36808.144692467111</v>
      </c>
      <c r="Y21" s="110">
        <f t="shared" si="4"/>
        <v>29503.238433016078</v>
      </c>
      <c r="Z21" s="110"/>
      <c r="AA21" s="110">
        <f t="shared" ref="AA21:AB32" si="24">+AA20+1</f>
        <v>78</v>
      </c>
      <c r="AB21" s="110">
        <f t="shared" si="24"/>
        <v>19</v>
      </c>
      <c r="AC21" s="115">
        <v>2.5984E-2</v>
      </c>
      <c r="AD21" s="109">
        <v>50000</v>
      </c>
      <c r="AE21" s="110">
        <f t="shared" si="17"/>
        <v>957.94429984708142</v>
      </c>
      <c r="AF21" s="110">
        <v>25</v>
      </c>
      <c r="AG21" s="110">
        <v>0.03</v>
      </c>
      <c r="AH21" s="110">
        <f t="shared" si="19"/>
        <v>0.05</v>
      </c>
      <c r="AI21" s="110">
        <f t="shared" si="22"/>
        <v>1.1399999999999997</v>
      </c>
      <c r="AJ21" s="110">
        <f t="shared" si="6"/>
        <v>13204.451979440835</v>
      </c>
      <c r="AK21" s="110">
        <f t="shared" si="7"/>
        <v>14310.362366348743</v>
      </c>
      <c r="AL21" s="110">
        <f t="shared" si="5"/>
        <v>13204.451979440835</v>
      </c>
      <c r="AM21" s="110"/>
      <c r="AN21" s="110">
        <f t="shared" si="8"/>
        <v>13204.451979440835</v>
      </c>
      <c r="AO21" s="110">
        <f t="shared" si="9"/>
        <v>10162.161090799473</v>
      </c>
    </row>
    <row r="22" spans="1:41" ht="16" x14ac:dyDescent="0.2">
      <c r="A22" s="1"/>
      <c r="B22" s="1"/>
      <c r="C22" s="1"/>
      <c r="D22" s="1"/>
      <c r="E22" s="1"/>
      <c r="F22" s="1"/>
      <c r="G22" s="1"/>
      <c r="H22" s="1"/>
      <c r="I22" s="1"/>
      <c r="K22" s="105">
        <f t="shared" si="23"/>
        <v>79</v>
      </c>
      <c r="L22" s="105">
        <f t="shared" si="23"/>
        <v>20</v>
      </c>
      <c r="M22" s="106">
        <v>2.9132000000000002E-2</v>
      </c>
      <c r="N22" s="111">
        <v>50000</v>
      </c>
      <c r="O22" s="112">
        <f t="shared" si="11"/>
        <v>1600</v>
      </c>
      <c r="P22" s="112">
        <v>25</v>
      </c>
      <c r="Q22" s="123">
        <v>0.03</v>
      </c>
      <c r="R22" s="123">
        <f t="shared" si="13"/>
        <v>0.05</v>
      </c>
      <c r="S22" s="121">
        <f t="shared" si="14"/>
        <v>1.1199999999999997</v>
      </c>
      <c r="T22" s="116">
        <f t="shared" si="0"/>
        <v>39943.931773433993</v>
      </c>
      <c r="U22" s="110">
        <f t="shared" si="1"/>
        <v>39943.931773433993</v>
      </c>
      <c r="V22" s="110">
        <f t="shared" si="2"/>
        <v>40130.684480910822</v>
      </c>
      <c r="W22" s="110"/>
      <c r="X22" s="110">
        <f t="shared" si="3"/>
        <v>39943.931773433993</v>
      </c>
      <c r="Y22" s="110">
        <f t="shared" si="4"/>
        <v>30850.290160492128</v>
      </c>
      <c r="Z22" s="110"/>
      <c r="AA22" s="110">
        <f t="shared" si="24"/>
        <v>79</v>
      </c>
      <c r="AB22" s="110">
        <f t="shared" si="24"/>
        <v>20</v>
      </c>
      <c r="AC22" s="115">
        <v>2.9132000000000002E-2</v>
      </c>
      <c r="AD22" s="109">
        <v>50000</v>
      </c>
      <c r="AE22" s="110">
        <f t="shared" si="17"/>
        <v>957.94429984708142</v>
      </c>
      <c r="AF22" s="110">
        <v>25</v>
      </c>
      <c r="AG22" s="110">
        <v>0.03</v>
      </c>
      <c r="AH22" s="110">
        <f t="shared" si="19"/>
        <v>0.05</v>
      </c>
      <c r="AI22" s="110">
        <f t="shared" si="22"/>
        <v>1.1199999999999997</v>
      </c>
      <c r="AJ22" s="110">
        <f t="shared" si="6"/>
        <v>13545.115958102022</v>
      </c>
      <c r="AK22" s="110">
        <f t="shared" si="7"/>
        <v>14781.055434914639</v>
      </c>
      <c r="AL22" s="110">
        <f t="shared" si="5"/>
        <v>13545.115958102022</v>
      </c>
      <c r="AM22" s="110"/>
      <c r="AN22" s="110">
        <f t="shared" si="8"/>
        <v>13545.115958102022</v>
      </c>
      <c r="AO22" s="110">
        <f t="shared" si="9"/>
        <v>9868.0004660041268</v>
      </c>
    </row>
    <row r="23" spans="1:41" ht="16" x14ac:dyDescent="0.2">
      <c r="A23" s="1" t="s">
        <v>127</v>
      </c>
      <c r="B23" s="1"/>
      <c r="C23" s="1"/>
      <c r="D23" s="1"/>
      <c r="E23" s="1"/>
      <c r="F23" s="1"/>
      <c r="G23" s="1"/>
      <c r="H23" s="1"/>
      <c r="I23" s="1"/>
      <c r="K23" s="105">
        <f t="shared" si="23"/>
        <v>80</v>
      </c>
      <c r="L23" s="105">
        <f t="shared" si="23"/>
        <v>21</v>
      </c>
      <c r="M23" s="106">
        <v>3.2658E-2</v>
      </c>
      <c r="N23" s="111">
        <v>50000</v>
      </c>
      <c r="O23" s="112">
        <f t="shared" si="11"/>
        <v>1600</v>
      </c>
      <c r="P23" s="112">
        <v>25</v>
      </c>
      <c r="Q23" s="123">
        <v>0.03</v>
      </c>
      <c r="R23" s="123">
        <f t="shared" si="13"/>
        <v>0.05</v>
      </c>
      <c r="S23" s="121">
        <f t="shared" si="14"/>
        <v>1.0999999999999996</v>
      </c>
      <c r="T23" s="116">
        <f t="shared" si="0"/>
        <v>43328.341862663052</v>
      </c>
      <c r="U23" s="110">
        <f t="shared" si="1"/>
        <v>43328.341862663052</v>
      </c>
      <c r="V23" s="110">
        <f t="shared" si="2"/>
        <v>43421.407394475798</v>
      </c>
      <c r="W23" s="110"/>
      <c r="X23" s="110">
        <f t="shared" si="3"/>
        <v>43328.341862663052</v>
      </c>
      <c r="Y23" s="110">
        <f t="shared" si="4"/>
        <v>32049.02651317693</v>
      </c>
      <c r="Z23" s="110"/>
      <c r="AA23" s="110">
        <f t="shared" si="24"/>
        <v>80</v>
      </c>
      <c r="AB23" s="110">
        <f t="shared" si="24"/>
        <v>21</v>
      </c>
      <c r="AC23" s="115">
        <v>3.2658E-2</v>
      </c>
      <c r="AD23" s="109">
        <v>50000</v>
      </c>
      <c r="AE23" s="110">
        <f t="shared" si="17"/>
        <v>957.94429984708142</v>
      </c>
      <c r="AF23" s="110">
        <v>25</v>
      </c>
      <c r="AG23" s="110">
        <v>0.03</v>
      </c>
      <c r="AH23" s="110">
        <f t="shared" si="19"/>
        <v>0.05</v>
      </c>
      <c r="AI23" s="110">
        <f t="shared" si="22"/>
        <v>1.0999999999999996</v>
      </c>
      <c r="AJ23" s="110">
        <f t="shared" si="6"/>
        <v>13753.911630048297</v>
      </c>
      <c r="AK23" s="110">
        <f t="shared" si="7"/>
        <v>15141.472236634612</v>
      </c>
      <c r="AL23" s="110">
        <f t="shared" si="5"/>
        <v>13753.911630048297</v>
      </c>
      <c r="AM23" s="110"/>
      <c r="AN23" s="110">
        <f t="shared" si="8"/>
        <v>13753.911630048297</v>
      </c>
      <c r="AO23" s="110">
        <f t="shared" si="9"/>
        <v>9343.4638488039636</v>
      </c>
    </row>
    <row r="24" spans="1:41" ht="16" x14ac:dyDescent="0.2">
      <c r="A24" s="1" t="s">
        <v>121</v>
      </c>
      <c r="B24" s="1"/>
      <c r="C24" s="1"/>
      <c r="D24" s="1"/>
      <c r="E24" s="1"/>
      <c r="F24" s="1"/>
      <c r="G24" s="1"/>
      <c r="H24" s="1"/>
      <c r="I24" s="1"/>
      <c r="K24" s="105">
        <f t="shared" si="23"/>
        <v>81</v>
      </c>
      <c r="L24" s="105">
        <f t="shared" si="23"/>
        <v>22</v>
      </c>
      <c r="M24" s="106">
        <v>3.6607000000000001E-2</v>
      </c>
      <c r="N24" s="111">
        <v>50000</v>
      </c>
      <c r="O24" s="112">
        <f t="shared" si="11"/>
        <v>1600</v>
      </c>
      <c r="P24" s="112">
        <v>25</v>
      </c>
      <c r="Q24" s="123">
        <v>0.03</v>
      </c>
      <c r="R24" s="123">
        <f t="shared" si="13"/>
        <v>0.05</v>
      </c>
      <c r="S24" s="121">
        <f t="shared" si="14"/>
        <v>1.0799999999999996</v>
      </c>
      <c r="T24" s="116">
        <f t="shared" si="0"/>
        <v>46980.201899007443</v>
      </c>
      <c r="U24" s="110">
        <f t="shared" si="1"/>
        <v>47014.828877449771</v>
      </c>
      <c r="V24" s="110">
        <f t="shared" si="2"/>
        <v>46980.201899007443</v>
      </c>
      <c r="W24" s="110"/>
      <c r="X24" s="110">
        <f t="shared" si="3"/>
        <v>46980.201899007443</v>
      </c>
      <c r="Y24" s="110">
        <f t="shared" si="4"/>
        <v>33066.15890679694</v>
      </c>
      <c r="Z24" s="110"/>
      <c r="AA24" s="110">
        <f t="shared" si="24"/>
        <v>81</v>
      </c>
      <c r="AB24" s="110">
        <f t="shared" si="24"/>
        <v>22</v>
      </c>
      <c r="AC24" s="115">
        <v>3.6607000000000001E-2</v>
      </c>
      <c r="AD24" s="109">
        <v>50000</v>
      </c>
      <c r="AE24" s="110">
        <f t="shared" si="17"/>
        <v>957.94429984708142</v>
      </c>
      <c r="AF24" s="110">
        <v>25</v>
      </c>
      <c r="AG24" s="110">
        <v>0.03</v>
      </c>
      <c r="AH24" s="110">
        <f t="shared" si="19"/>
        <v>0.05</v>
      </c>
      <c r="AI24" s="110">
        <f t="shared" si="22"/>
        <v>1.0799999999999996</v>
      </c>
      <c r="AJ24" s="110">
        <f t="shared" si="6"/>
        <v>13800.118108662782</v>
      </c>
      <c r="AK24" s="110">
        <f t="shared" si="7"/>
        <v>15366.149338248801</v>
      </c>
      <c r="AL24" s="110">
        <f t="shared" si="5"/>
        <v>13800.118108662782</v>
      </c>
      <c r="AM24" s="110"/>
      <c r="AN24" s="110">
        <f t="shared" si="8"/>
        <v>13800.118108662782</v>
      </c>
      <c r="AO24" s="110">
        <f t="shared" si="9"/>
        <v>8551.1596240447634</v>
      </c>
    </row>
    <row r="25" spans="1:41" ht="16" x14ac:dyDescent="0.2">
      <c r="A25" s="1" t="s">
        <v>122</v>
      </c>
      <c r="B25" s="1"/>
      <c r="C25" s="1"/>
      <c r="D25" s="1"/>
      <c r="E25" s="1"/>
      <c r="F25" s="1"/>
      <c r="G25" s="1"/>
      <c r="H25" s="1"/>
      <c r="I25" s="1"/>
      <c r="K25" s="105">
        <f t="shared" si="23"/>
        <v>82</v>
      </c>
      <c r="L25" s="105">
        <f t="shared" si="23"/>
        <v>23</v>
      </c>
      <c r="M25" s="106">
        <v>4.1024999999999999E-2</v>
      </c>
      <c r="N25" s="111">
        <v>50000</v>
      </c>
      <c r="O25" s="112">
        <f t="shared" si="11"/>
        <v>1600</v>
      </c>
      <c r="P25" s="112">
        <v>25</v>
      </c>
      <c r="Q25" s="123">
        <v>0.03</v>
      </c>
      <c r="R25" s="123">
        <f t="shared" si="13"/>
        <v>0.05</v>
      </c>
      <c r="S25" s="121">
        <f t="shared" si="14"/>
        <v>1.0599999999999996</v>
      </c>
      <c r="T25" s="116">
        <f t="shared" si="0"/>
        <v>50829.905253332428</v>
      </c>
      <c r="U25" s="110">
        <f t="shared" si="1"/>
        <v>51034.89937353765</v>
      </c>
      <c r="V25" s="110">
        <f t="shared" si="2"/>
        <v>50829.905253332428</v>
      </c>
      <c r="W25" s="110"/>
      <c r="X25" s="110">
        <f t="shared" si="3"/>
        <v>50829.905253332428</v>
      </c>
      <c r="Y25" s="110">
        <f t="shared" si="4"/>
        <v>33863.920735631931</v>
      </c>
      <c r="Z25" s="110"/>
      <c r="AA25" s="110">
        <f t="shared" si="24"/>
        <v>82</v>
      </c>
      <c r="AB25" s="110">
        <f t="shared" si="24"/>
        <v>23</v>
      </c>
      <c r="AC25" s="115">
        <v>4.1024999999999999E-2</v>
      </c>
      <c r="AD25" s="109">
        <v>50000</v>
      </c>
      <c r="AE25" s="110">
        <f t="shared" si="17"/>
        <v>957.94429984708142</v>
      </c>
      <c r="AF25" s="110">
        <v>25</v>
      </c>
      <c r="AG25" s="110">
        <v>0.03</v>
      </c>
      <c r="AH25" s="110">
        <f t="shared" si="19"/>
        <v>0.05</v>
      </c>
      <c r="AI25" s="110">
        <f t="shared" si="22"/>
        <v>1.0599999999999996</v>
      </c>
      <c r="AJ25" s="110">
        <f t="shared" si="6"/>
        <v>13645.217224222646</v>
      </c>
      <c r="AK25" s="110">
        <f t="shared" si="7"/>
        <v>15423.27365610848</v>
      </c>
      <c r="AL25" s="110">
        <f t="shared" si="5"/>
        <v>13645.217224222646</v>
      </c>
      <c r="AM25" s="110"/>
      <c r="AN25" s="110">
        <f t="shared" si="8"/>
        <v>13645.217224222646</v>
      </c>
      <c r="AO25" s="110">
        <f t="shared" si="9"/>
        <v>7449.0130035815846</v>
      </c>
    </row>
    <row r="26" spans="1:41" ht="16" x14ac:dyDescent="0.2">
      <c r="A26" s="102"/>
      <c r="B26" s="102"/>
      <c r="C26" s="102"/>
      <c r="D26" s="102"/>
      <c r="E26" s="102"/>
      <c r="F26" s="102"/>
      <c r="G26" s="102"/>
      <c r="H26" s="102"/>
      <c r="I26" s="102"/>
      <c r="K26" s="105">
        <f t="shared" si="23"/>
        <v>83</v>
      </c>
      <c r="L26" s="105">
        <f t="shared" si="23"/>
        <v>24</v>
      </c>
      <c r="M26" s="106">
        <v>4.5968000000000002E-2</v>
      </c>
      <c r="N26" s="111">
        <v>50000</v>
      </c>
      <c r="O26" s="112">
        <f t="shared" si="11"/>
        <v>1600</v>
      </c>
      <c r="P26" s="112">
        <v>25</v>
      </c>
      <c r="Q26" s="123">
        <v>0.03</v>
      </c>
      <c r="R26" s="123">
        <f t="shared" si="13"/>
        <v>0.05</v>
      </c>
      <c r="S26" s="121">
        <f t="shared" si="14"/>
        <v>1.0399999999999996</v>
      </c>
      <c r="T26" s="116">
        <f t="shared" si="0"/>
        <v>54901.65977558466</v>
      </c>
      <c r="U26" s="110">
        <f t="shared" si="1"/>
        <v>55324.565187657565</v>
      </c>
      <c r="V26" s="110">
        <f t="shared" si="2"/>
        <v>54901.65977558466</v>
      </c>
      <c r="W26" s="110"/>
      <c r="X26" s="110">
        <f t="shared" si="3"/>
        <v>54901.65977558466</v>
      </c>
      <c r="Y26" s="110">
        <f t="shared" si="4"/>
        <v>34399.231820957219</v>
      </c>
      <c r="Z26" s="110"/>
      <c r="AA26" s="110">
        <f t="shared" si="24"/>
        <v>83</v>
      </c>
      <c r="AB26" s="110">
        <f t="shared" si="24"/>
        <v>24</v>
      </c>
      <c r="AC26" s="115">
        <v>4.5968000000000002E-2</v>
      </c>
      <c r="AD26" s="109">
        <v>50000</v>
      </c>
      <c r="AE26" s="110">
        <f t="shared" si="17"/>
        <v>957.94429984708142</v>
      </c>
      <c r="AF26" s="110">
        <v>25</v>
      </c>
      <c r="AG26" s="110">
        <v>0.03</v>
      </c>
      <c r="AH26" s="110">
        <f t="shared" si="19"/>
        <v>0.05</v>
      </c>
      <c r="AI26" s="110">
        <f t="shared" si="22"/>
        <v>1.0399999999999996</v>
      </c>
      <c r="AJ26" s="110">
        <f t="shared" si="6"/>
        <v>13239.952937511802</v>
      </c>
      <c r="AK26" s="110">
        <f t="shared" si="7"/>
        <v>15272.716557332191</v>
      </c>
      <c r="AL26" s="110">
        <f t="shared" si="5"/>
        <v>13239.952937511802</v>
      </c>
      <c r="AM26" s="110"/>
      <c r="AN26" s="110">
        <f t="shared" si="8"/>
        <v>13239.952937511802</v>
      </c>
      <c r="AO26" s="110">
        <f t="shared" si="9"/>
        <v>5989.4202171437892</v>
      </c>
    </row>
    <row r="27" spans="1:41" ht="16" x14ac:dyDescent="0.2">
      <c r="A27" s="131" t="s">
        <v>35</v>
      </c>
      <c r="B27" s="145" t="s">
        <v>145</v>
      </c>
      <c r="C27" s="145"/>
      <c r="D27" s="145"/>
      <c r="E27" s="145"/>
      <c r="F27" s="145"/>
      <c r="G27" s="145"/>
      <c r="H27" s="145"/>
      <c r="I27" s="145"/>
      <c r="K27" s="105">
        <f t="shared" si="23"/>
        <v>84</v>
      </c>
      <c r="L27" s="105">
        <f t="shared" si="23"/>
        <v>25</v>
      </c>
      <c r="M27" s="106">
        <v>5.1492999999999997E-2</v>
      </c>
      <c r="N27" s="111">
        <v>50000</v>
      </c>
      <c r="O27" s="112">
        <f t="shared" si="11"/>
        <v>1600</v>
      </c>
      <c r="P27" s="112">
        <v>25</v>
      </c>
      <c r="Q27" s="123">
        <v>0.03</v>
      </c>
      <c r="R27" s="123">
        <f t="shared" si="13"/>
        <v>0.05</v>
      </c>
      <c r="S27" s="121">
        <f t="shared" si="14"/>
        <v>1.0199999999999996</v>
      </c>
      <c r="T27" s="116">
        <f t="shared" si="0"/>
        <v>59225.878300855242</v>
      </c>
      <c r="U27" s="110">
        <f t="shared" si="1"/>
        <v>59925.728675868952</v>
      </c>
      <c r="V27" s="110">
        <f t="shared" si="2"/>
        <v>59225.878300855242</v>
      </c>
      <c r="W27" s="110"/>
      <c r="X27" s="110">
        <f t="shared" si="3"/>
        <v>59225.878300855242</v>
      </c>
      <c r="Y27" s="110">
        <f t="shared" si="4"/>
        <v>34623.37156734489</v>
      </c>
      <c r="Z27" s="110"/>
      <c r="AA27" s="110">
        <f t="shared" si="24"/>
        <v>84</v>
      </c>
      <c r="AB27" s="110">
        <f t="shared" si="24"/>
        <v>25</v>
      </c>
      <c r="AC27" s="115">
        <v>5.1492999999999997E-2</v>
      </c>
      <c r="AD27" s="109">
        <v>50000</v>
      </c>
      <c r="AE27" s="110">
        <f t="shared" si="17"/>
        <v>957.94429984708142</v>
      </c>
      <c r="AF27" s="110">
        <v>25</v>
      </c>
      <c r="AG27" s="110">
        <v>0.03</v>
      </c>
      <c r="AH27" s="110">
        <f t="shared" si="19"/>
        <v>0.05</v>
      </c>
      <c r="AI27" s="110">
        <f t="shared" si="22"/>
        <v>1.0199999999999996</v>
      </c>
      <c r="AJ27" s="110">
        <f t="shared" si="6"/>
        <v>12520.664929323037</v>
      </c>
      <c r="AK27" s="110">
        <f t="shared" si="7"/>
        <v>14862.817494621477</v>
      </c>
      <c r="AL27" s="110">
        <f t="shared" si="5"/>
        <v>12520.664929323037</v>
      </c>
      <c r="AM27" s="110"/>
      <c r="AN27" s="110">
        <f t="shared" si="8"/>
        <v>12520.664929323037</v>
      </c>
      <c r="AO27" s="110">
        <f t="shared" si="9"/>
        <v>4118.9108981802201</v>
      </c>
    </row>
    <row r="28" spans="1:41" ht="16" x14ac:dyDescent="0.2">
      <c r="A28" s="1"/>
      <c r="B28" s="145"/>
      <c r="C28" s="145"/>
      <c r="D28" s="145"/>
      <c r="E28" s="145"/>
      <c r="F28" s="145"/>
      <c r="G28" s="145"/>
      <c r="H28" s="145"/>
      <c r="I28" s="145"/>
      <c r="K28" s="105">
        <f t="shared" si="23"/>
        <v>85</v>
      </c>
      <c r="L28" s="105">
        <f t="shared" si="23"/>
        <v>26</v>
      </c>
      <c r="M28" s="106">
        <v>5.7665000000000001E-2</v>
      </c>
      <c r="N28" s="111">
        <v>50000</v>
      </c>
      <c r="O28" s="112">
        <f t="shared" si="11"/>
        <v>1600</v>
      </c>
      <c r="P28" s="112">
        <v>25</v>
      </c>
      <c r="Q28" s="123">
        <v>0.03</v>
      </c>
      <c r="R28" s="123">
        <f t="shared" si="13"/>
        <v>0.05</v>
      </c>
      <c r="S28" s="121">
        <v>1</v>
      </c>
      <c r="T28" s="116">
        <f t="shared" si="0"/>
        <v>63840.922215898005</v>
      </c>
      <c r="U28" s="110">
        <f t="shared" si="1"/>
        <v>64891.385098780207</v>
      </c>
      <c r="V28" s="110">
        <f t="shared" si="2"/>
        <v>63840.922215898005</v>
      </c>
      <c r="W28" s="110"/>
      <c r="X28" s="110">
        <f t="shared" si="3"/>
        <v>63840.922215898005</v>
      </c>
      <c r="Y28" s="110">
        <f t="shared" si="4"/>
        <v>34481.207621440291</v>
      </c>
      <c r="Z28" s="110"/>
      <c r="AA28" s="110">
        <f t="shared" si="24"/>
        <v>85</v>
      </c>
      <c r="AB28" s="110">
        <f t="shared" si="24"/>
        <v>26</v>
      </c>
      <c r="AC28" s="115">
        <v>5.7665000000000001E-2</v>
      </c>
      <c r="AD28" s="109">
        <v>50000</v>
      </c>
      <c r="AE28" s="110">
        <f t="shared" si="17"/>
        <v>957.94429984708142</v>
      </c>
      <c r="AF28" s="110">
        <v>25</v>
      </c>
      <c r="AG28" s="110">
        <v>0.03</v>
      </c>
      <c r="AH28" s="110">
        <f t="shared" si="19"/>
        <v>0.05</v>
      </c>
      <c r="AI28" s="110">
        <v>1</v>
      </c>
      <c r="AJ28" s="110">
        <f t="shared" si="6"/>
        <v>11403.638658894752</v>
      </c>
      <c r="AK28" s="110">
        <f t="shared" si="7"/>
        <v>14126.289690628626</v>
      </c>
      <c r="AL28" s="110">
        <f t="shared" si="5"/>
        <v>11403.638658894752</v>
      </c>
      <c r="AM28" s="110"/>
      <c r="AN28" s="110">
        <f t="shared" si="8"/>
        <v>11403.638658894752</v>
      </c>
      <c r="AO28" s="110">
        <f t="shared" si="9"/>
        <v>1777.365433656822</v>
      </c>
    </row>
    <row r="29" spans="1:41" ht="17" thickBot="1" x14ac:dyDescent="0.25">
      <c r="K29" s="105">
        <f t="shared" si="23"/>
        <v>86</v>
      </c>
      <c r="L29" s="105">
        <f t="shared" si="23"/>
        <v>27</v>
      </c>
      <c r="M29" s="106">
        <v>6.4554E-2</v>
      </c>
      <c r="N29" s="111">
        <v>50000</v>
      </c>
      <c r="O29" s="112">
        <f t="shared" si="11"/>
        <v>1600</v>
      </c>
      <c r="P29" s="112">
        <v>25</v>
      </c>
      <c r="Q29" s="123">
        <v>0.03</v>
      </c>
      <c r="R29" s="123">
        <f t="shared" si="13"/>
        <v>0.05</v>
      </c>
      <c r="S29" s="121">
        <v>1</v>
      </c>
      <c r="T29" s="116">
        <f t="shared" si="0"/>
        <v>68686.718326692906</v>
      </c>
      <c r="U29" s="110">
        <f t="shared" si="1"/>
        <v>70288.9128984298</v>
      </c>
      <c r="V29" s="110">
        <f t="shared" si="2"/>
        <v>68686.718326692906</v>
      </c>
      <c r="W29" s="110"/>
      <c r="X29" s="110">
        <f t="shared" si="3"/>
        <v>68686.718326692906</v>
      </c>
      <c r="Y29" s="110">
        <f t="shared" si="4"/>
        <v>33910.569458822989</v>
      </c>
      <c r="Z29" s="110"/>
      <c r="AA29" s="110">
        <f t="shared" si="24"/>
        <v>86</v>
      </c>
      <c r="AB29" s="110">
        <f t="shared" si="24"/>
        <v>27</v>
      </c>
      <c r="AC29" s="115">
        <v>6.4554E-2</v>
      </c>
      <c r="AD29" s="109">
        <v>50000</v>
      </c>
      <c r="AE29" s="110">
        <f t="shared" si="17"/>
        <v>957.94429984708142</v>
      </c>
      <c r="AF29" s="110">
        <v>25</v>
      </c>
      <c r="AG29" s="110">
        <v>0.03</v>
      </c>
      <c r="AH29" s="110">
        <f t="shared" si="19"/>
        <v>0.05</v>
      </c>
      <c r="AI29" s="110">
        <v>1</v>
      </c>
      <c r="AJ29" s="110">
        <f t="shared" si="6"/>
        <v>9777.0468944272798</v>
      </c>
      <c r="AK29" s="110">
        <f t="shared" si="7"/>
        <v>12953.412106678927</v>
      </c>
      <c r="AL29" s="110">
        <f t="shared" si="5"/>
        <v>9777.0468944272798</v>
      </c>
      <c r="AM29" s="110"/>
      <c r="AN29" s="110">
        <f t="shared" si="8"/>
        <v>9777.0468944272798</v>
      </c>
      <c r="AO29" s="110">
        <f t="shared" si="9"/>
        <v>-1102.6233235102222</v>
      </c>
    </row>
    <row r="30" spans="1:41" ht="17" thickBot="1" x14ac:dyDescent="0.25">
      <c r="A30" s="132" t="s">
        <v>17</v>
      </c>
      <c r="B30" s="1" t="s">
        <v>109</v>
      </c>
      <c r="C30" s="1"/>
      <c r="D30" s="120">
        <f>T32</f>
        <v>84726.909177937894</v>
      </c>
      <c r="K30" s="105">
        <f t="shared" si="23"/>
        <v>87</v>
      </c>
      <c r="L30" s="105">
        <f t="shared" si="23"/>
        <v>28</v>
      </c>
      <c r="M30" s="106">
        <v>7.2236999999999996E-2</v>
      </c>
      <c r="N30" s="111">
        <v>50000</v>
      </c>
      <c r="O30" s="112">
        <f t="shared" si="11"/>
        <v>1600</v>
      </c>
      <c r="P30" s="112">
        <v>25</v>
      </c>
      <c r="Q30" s="123">
        <v>0.03</v>
      </c>
      <c r="R30" s="123">
        <f t="shared" si="13"/>
        <v>0.05</v>
      </c>
      <c r="S30" s="121">
        <v>1</v>
      </c>
      <c r="T30" s="116">
        <f t="shared" si="0"/>
        <v>73774.804243027553</v>
      </c>
      <c r="U30" s="110">
        <f t="shared" si="1"/>
        <v>76079.375898080514</v>
      </c>
      <c r="V30" s="110">
        <f t="shared" si="2"/>
        <v>73774.804243027553</v>
      </c>
      <c r="W30" s="110"/>
      <c r="X30" s="110">
        <f t="shared" si="3"/>
        <v>73774.804243027553</v>
      </c>
      <c r="Y30" s="110">
        <f t="shared" si="4"/>
        <v>32841.46832011365</v>
      </c>
      <c r="Z30" s="110"/>
      <c r="AA30" s="110">
        <f t="shared" si="24"/>
        <v>87</v>
      </c>
      <c r="AB30" s="110">
        <f t="shared" si="24"/>
        <v>28</v>
      </c>
      <c r="AC30" s="115">
        <v>7.2236999999999996E-2</v>
      </c>
      <c r="AD30" s="109">
        <v>50000</v>
      </c>
      <c r="AE30" s="110">
        <f t="shared" si="17"/>
        <v>957.94429984708142</v>
      </c>
      <c r="AF30" s="110">
        <v>25</v>
      </c>
      <c r="AG30" s="110">
        <v>0.03</v>
      </c>
      <c r="AH30" s="110">
        <f t="shared" si="19"/>
        <v>0.05</v>
      </c>
      <c r="AI30" s="110">
        <v>1</v>
      </c>
      <c r="AJ30" s="110">
        <f t="shared" si="6"/>
        <v>7488.8859634338269</v>
      </c>
      <c r="AK30" s="110">
        <f t="shared" si="7"/>
        <v>11245.490753988081</v>
      </c>
      <c r="AL30" s="110">
        <f t="shared" si="5"/>
        <v>7488.8859634338269</v>
      </c>
      <c r="AM30" s="110"/>
      <c r="AN30" s="110">
        <f t="shared" si="8"/>
        <v>7488.8859634338269</v>
      </c>
      <c r="AO30" s="110">
        <f t="shared" si="9"/>
        <v>-4596.542586496782</v>
      </c>
    </row>
    <row r="31" spans="1:41" ht="16" x14ac:dyDescent="0.2">
      <c r="K31" s="105">
        <f t="shared" si="23"/>
        <v>88</v>
      </c>
      <c r="L31" s="105">
        <f t="shared" si="23"/>
        <v>29</v>
      </c>
      <c r="M31" s="106">
        <v>8.0797999999999995E-2</v>
      </c>
      <c r="N31" s="111">
        <v>50000</v>
      </c>
      <c r="O31" s="112">
        <f t="shared" si="11"/>
        <v>1600</v>
      </c>
      <c r="P31" s="112">
        <v>25</v>
      </c>
      <c r="Q31" s="123">
        <v>0.03</v>
      </c>
      <c r="R31" s="123">
        <f t="shared" si="13"/>
        <v>0.05</v>
      </c>
      <c r="S31" s="121">
        <v>1</v>
      </c>
      <c r="T31" s="116">
        <f t="shared" si="0"/>
        <v>79117.294455178941</v>
      </c>
      <c r="U31" s="110">
        <f t="shared" si="1"/>
        <v>82310.913976128941</v>
      </c>
      <c r="V31" s="110">
        <f t="shared" si="2"/>
        <v>79117.294455178941</v>
      </c>
      <c r="W31" s="110"/>
      <c r="X31" s="110">
        <f t="shared" si="3"/>
        <v>79117.294455178941</v>
      </c>
      <c r="Y31" s="110">
        <f t="shared" si="4"/>
        <v>31195.278143886324</v>
      </c>
      <c r="Z31" s="110"/>
      <c r="AA31" s="110">
        <f t="shared" si="24"/>
        <v>88</v>
      </c>
      <c r="AB31" s="110">
        <f t="shared" si="24"/>
        <v>29</v>
      </c>
      <c r="AC31" s="115">
        <v>8.0797999999999995E-2</v>
      </c>
      <c r="AD31" s="109">
        <v>50000</v>
      </c>
      <c r="AE31" s="110">
        <f t="shared" si="17"/>
        <v>957.94429984708142</v>
      </c>
      <c r="AF31" s="110">
        <v>25</v>
      </c>
      <c r="AG31" s="110">
        <v>0.03</v>
      </c>
      <c r="AH31" s="110">
        <f t="shared" si="19"/>
        <v>0.05</v>
      </c>
      <c r="AI31" s="110">
        <v>1</v>
      </c>
      <c r="AJ31" s="110">
        <f t="shared" si="6"/>
        <v>4328.7644380170477</v>
      </c>
      <c r="AK31" s="110">
        <f t="shared" si="7"/>
        <v>8842.9217764449531</v>
      </c>
      <c r="AL31" s="110">
        <f t="shared" si="5"/>
        <v>4328.7644380170477</v>
      </c>
      <c r="AM31" s="110"/>
      <c r="AN31" s="110">
        <f t="shared" si="8"/>
        <v>4328.7644380170477</v>
      </c>
      <c r="AO31" s="110">
        <f t="shared" si="9"/>
        <v>-8788.7917932151959</v>
      </c>
    </row>
    <row r="32" spans="1:41" ht="17" thickBot="1" x14ac:dyDescent="0.25">
      <c r="A32" s="1" t="s">
        <v>48</v>
      </c>
      <c r="B32" s="1" t="s">
        <v>131</v>
      </c>
      <c r="C32" s="1"/>
      <c r="D32" s="1"/>
      <c r="E32" s="1"/>
      <c r="F32" s="1"/>
      <c r="G32" s="1"/>
      <c r="H32" s="1"/>
      <c r="I32" s="1"/>
      <c r="K32" s="107">
        <f t="shared" si="23"/>
        <v>89</v>
      </c>
      <c r="L32" s="107">
        <f t="shared" si="23"/>
        <v>30</v>
      </c>
      <c r="M32" s="108">
        <v>9.0326000000000004E-2</v>
      </c>
      <c r="N32" s="113">
        <v>50000</v>
      </c>
      <c r="O32" s="114">
        <f t="shared" si="11"/>
        <v>1600</v>
      </c>
      <c r="P32" s="114">
        <v>25</v>
      </c>
      <c r="Q32" s="124">
        <v>0.03</v>
      </c>
      <c r="R32" s="124">
        <f t="shared" si="13"/>
        <v>0.05</v>
      </c>
      <c r="S32" s="122">
        <v>1</v>
      </c>
      <c r="T32" s="117">
        <f t="shared" si="0"/>
        <v>84726.909177937894</v>
      </c>
      <c r="U32" s="110">
        <f t="shared" si="1"/>
        <v>89040.751508144793</v>
      </c>
      <c r="V32" s="110">
        <f t="shared" si="2"/>
        <v>84726.909177937894</v>
      </c>
      <c r="W32" s="110"/>
      <c r="X32" s="110">
        <f t="shared" si="3"/>
        <v>84726.909177937894</v>
      </c>
      <c r="Y32" s="110">
        <f t="shared" si="4"/>
        <v>28883.997876323359</v>
      </c>
      <c r="Z32" s="110"/>
      <c r="AA32" s="110">
        <f t="shared" si="24"/>
        <v>89</v>
      </c>
      <c r="AB32" s="110">
        <f t="shared" si="24"/>
        <v>30</v>
      </c>
      <c r="AC32" s="115">
        <v>9.0326000000000004E-2</v>
      </c>
      <c r="AD32" s="109">
        <v>50000</v>
      </c>
      <c r="AE32" s="110">
        <f t="shared" si="17"/>
        <v>957.94429984708142</v>
      </c>
      <c r="AF32" s="110">
        <v>25</v>
      </c>
      <c r="AG32" s="110">
        <v>0.03</v>
      </c>
      <c r="AH32" s="110">
        <f t="shared" si="19"/>
        <v>0.05</v>
      </c>
      <c r="AI32" s="110">
        <v>1</v>
      </c>
      <c r="AJ32" s="110">
        <f t="shared" si="6"/>
        <v>6.0121462590169287E-11</v>
      </c>
      <c r="AK32" s="110">
        <f t="shared" si="7"/>
        <v>5524.7941747573359</v>
      </c>
      <c r="AL32" s="110">
        <f t="shared" si="5"/>
        <v>6.0121462590169287E-11</v>
      </c>
      <c r="AM32" s="110"/>
      <c r="AN32" s="110">
        <f t="shared" si="8"/>
        <v>6.0121462590169287E-11</v>
      </c>
      <c r="AO32" s="110">
        <f t="shared" si="9"/>
        <v>-13773.434042793802</v>
      </c>
    </row>
    <row r="33" spans="1:9" ht="16" x14ac:dyDescent="0.2">
      <c r="A33" s="1" t="s">
        <v>132</v>
      </c>
      <c r="B33" s="1" t="s">
        <v>133</v>
      </c>
      <c r="C33" s="1"/>
      <c r="D33" s="1"/>
      <c r="E33" s="1"/>
      <c r="F33" s="1"/>
      <c r="G33" s="1"/>
      <c r="H33" s="1"/>
      <c r="I33" s="1"/>
    </row>
    <row r="34" spans="1:9" ht="16" thickBot="1" x14ac:dyDescent="0.25"/>
    <row r="35" spans="1:9" ht="17" thickBot="1" x14ac:dyDescent="0.25">
      <c r="A35" s="132" t="s">
        <v>17</v>
      </c>
      <c r="B35" s="1" t="s">
        <v>110</v>
      </c>
      <c r="C35" s="1"/>
      <c r="D35" s="120">
        <f>MAX(50000,S17*T17)</f>
        <v>50000</v>
      </c>
    </row>
    <row r="36" spans="1:9" ht="17" thickBot="1" x14ac:dyDescent="0.25">
      <c r="B36" s="1" t="s">
        <v>111</v>
      </c>
      <c r="C36" s="1"/>
      <c r="D36" s="120">
        <f>MAX(50000,S22*T22)</f>
        <v>50000</v>
      </c>
    </row>
    <row r="37" spans="1:9" ht="17" thickBot="1" x14ac:dyDescent="0.25">
      <c r="B37" s="1" t="s">
        <v>112</v>
      </c>
      <c r="C37" s="1"/>
      <c r="D37" s="120">
        <f>MAX(50000,S27*T27)</f>
        <v>60410.395866872321</v>
      </c>
    </row>
    <row r="39" spans="1:9" ht="16" x14ac:dyDescent="0.2">
      <c r="A39" s="1" t="s">
        <v>134</v>
      </c>
      <c r="B39" s="1" t="s">
        <v>135</v>
      </c>
      <c r="C39" s="1"/>
      <c r="D39" s="1"/>
      <c r="E39" s="1"/>
      <c r="F39" s="1"/>
      <c r="G39" s="1"/>
      <c r="H39" s="1"/>
      <c r="I39" s="1"/>
    </row>
    <row r="40" spans="1:9" ht="16" x14ac:dyDescent="0.2">
      <c r="A40" s="1" t="s">
        <v>132</v>
      </c>
      <c r="B40" s="1" t="s">
        <v>133</v>
      </c>
      <c r="C40" s="1"/>
      <c r="D40" s="1"/>
      <c r="E40" s="1"/>
      <c r="F40" s="1"/>
      <c r="G40" s="1"/>
      <c r="H40" s="1"/>
      <c r="I40" s="1"/>
    </row>
    <row r="41" spans="1:9" ht="16" thickBot="1" x14ac:dyDescent="0.25"/>
    <row r="42" spans="1:9" ht="17" thickBot="1" x14ac:dyDescent="0.25">
      <c r="A42" s="132" t="s">
        <v>17</v>
      </c>
      <c r="B42" s="1" t="s">
        <v>113</v>
      </c>
      <c r="C42" s="1"/>
      <c r="D42" s="120">
        <f>X3</f>
        <v>0</v>
      </c>
    </row>
    <row r="43" spans="1:9" ht="17" thickBot="1" x14ac:dyDescent="0.25">
      <c r="B43" s="1" t="s">
        <v>114</v>
      </c>
      <c r="C43" s="1"/>
      <c r="D43" s="120">
        <f>X4</f>
        <v>669.13714351388035</v>
      </c>
    </row>
    <row r="45" spans="1:9" ht="16" x14ac:dyDescent="0.2">
      <c r="A45" s="1" t="s">
        <v>52</v>
      </c>
      <c r="B45" s="1" t="s">
        <v>136</v>
      </c>
      <c r="C45" s="1"/>
      <c r="D45" s="1"/>
      <c r="E45" s="1"/>
      <c r="F45" s="1"/>
      <c r="G45" s="1"/>
      <c r="H45" s="1"/>
      <c r="I45" s="1"/>
    </row>
    <row r="46" spans="1:9" ht="16" thickBot="1" x14ac:dyDescent="0.25"/>
    <row r="47" spans="1:9" ht="16" x14ac:dyDescent="0.2">
      <c r="A47" s="132" t="s">
        <v>17</v>
      </c>
      <c r="B47" s="155" t="s">
        <v>148</v>
      </c>
      <c r="C47" s="156"/>
      <c r="D47" s="156"/>
      <c r="E47" s="156"/>
      <c r="F47" s="156"/>
      <c r="G47" s="156"/>
      <c r="H47" s="156"/>
      <c r="I47" s="157"/>
    </row>
    <row r="48" spans="1:9" ht="20" customHeight="1" thickBot="1" x14ac:dyDescent="0.25">
      <c r="B48" s="161"/>
      <c r="C48" s="162"/>
      <c r="D48" s="162"/>
      <c r="E48" s="162"/>
      <c r="F48" s="162"/>
      <c r="G48" s="162"/>
      <c r="H48" s="162"/>
      <c r="I48" s="163"/>
    </row>
    <row r="50" spans="1:9" ht="16" x14ac:dyDescent="0.2">
      <c r="A50" s="1" t="s">
        <v>54</v>
      </c>
      <c r="B50" s="146" t="s">
        <v>137</v>
      </c>
      <c r="C50" s="146"/>
      <c r="D50" s="146"/>
      <c r="E50" s="146"/>
      <c r="F50" s="146"/>
      <c r="G50" s="146"/>
      <c r="H50" s="146"/>
      <c r="I50" s="146"/>
    </row>
    <row r="51" spans="1:9" ht="16" x14ac:dyDescent="0.2">
      <c r="A51" s="1" t="s">
        <v>138</v>
      </c>
      <c r="B51" s="146"/>
      <c r="C51" s="146"/>
      <c r="D51" s="146"/>
      <c r="E51" s="146"/>
      <c r="F51" s="146"/>
      <c r="G51" s="146"/>
      <c r="H51" s="146"/>
      <c r="I51" s="146"/>
    </row>
    <row r="52" spans="1:9" ht="16" thickBot="1" x14ac:dyDescent="0.25"/>
    <row r="53" spans="1:9" ht="17" thickBot="1" x14ac:dyDescent="0.25">
      <c r="A53" s="132" t="s">
        <v>17</v>
      </c>
      <c r="B53" s="1" t="s">
        <v>115</v>
      </c>
      <c r="C53" s="1"/>
      <c r="D53" s="120">
        <f>AE3</f>
        <v>957.94429984708142</v>
      </c>
    </row>
    <row r="55" spans="1:9" ht="16" x14ac:dyDescent="0.2">
      <c r="A55" s="1" t="s">
        <v>139</v>
      </c>
      <c r="B55" s="1" t="s">
        <v>149</v>
      </c>
      <c r="C55" s="1"/>
      <c r="D55" s="1"/>
      <c r="E55" s="1"/>
      <c r="F55" s="1"/>
      <c r="G55" s="1"/>
      <c r="H55" s="1"/>
      <c r="I55" s="1"/>
    </row>
    <row r="56" spans="1:9" ht="16" thickBot="1" x14ac:dyDescent="0.25"/>
    <row r="57" spans="1:9" ht="16" x14ac:dyDescent="0.2">
      <c r="A57" s="132" t="s">
        <v>17</v>
      </c>
      <c r="B57" s="155" t="s">
        <v>143</v>
      </c>
      <c r="C57" s="156"/>
      <c r="D57" s="156"/>
      <c r="E57" s="156"/>
      <c r="F57" s="156"/>
      <c r="G57" s="156"/>
      <c r="H57" s="156"/>
      <c r="I57" s="157"/>
    </row>
    <row r="58" spans="1:9" ht="15" customHeight="1" x14ac:dyDescent="0.2">
      <c r="B58" s="158"/>
      <c r="C58" s="159"/>
      <c r="D58" s="159"/>
      <c r="E58" s="159"/>
      <c r="F58" s="159"/>
      <c r="G58" s="159"/>
      <c r="H58" s="159"/>
      <c r="I58" s="160"/>
    </row>
    <row r="59" spans="1:9" ht="20" customHeight="1" thickBot="1" x14ac:dyDescent="0.25">
      <c r="B59" s="161"/>
      <c r="C59" s="162"/>
      <c r="D59" s="162"/>
      <c r="E59" s="162"/>
      <c r="F59" s="162"/>
      <c r="G59" s="162"/>
      <c r="H59" s="162"/>
      <c r="I59" s="163"/>
    </row>
    <row r="61" spans="1:9" ht="16" x14ac:dyDescent="0.2">
      <c r="A61" s="1" t="s">
        <v>140</v>
      </c>
      <c r="B61" s="146" t="s">
        <v>150</v>
      </c>
      <c r="C61" s="146"/>
      <c r="D61" s="146"/>
      <c r="E61" s="146"/>
      <c r="F61" s="146"/>
      <c r="G61" s="146"/>
      <c r="H61" s="146"/>
      <c r="I61" s="146"/>
    </row>
    <row r="62" spans="1:9" ht="16" customHeight="1" x14ac:dyDescent="0.2">
      <c r="A62" s="1" t="s">
        <v>125</v>
      </c>
      <c r="B62" s="146"/>
      <c r="C62" s="146"/>
      <c r="D62" s="146"/>
      <c r="E62" s="146"/>
      <c r="F62" s="146"/>
      <c r="G62" s="146"/>
      <c r="H62" s="146"/>
      <c r="I62" s="146"/>
    </row>
    <row r="63" spans="1:9" ht="16" thickBot="1" x14ac:dyDescent="0.25"/>
    <row r="64" spans="1:9" ht="17" thickBot="1" x14ac:dyDescent="0.25">
      <c r="B64" s="1" t="s">
        <v>116</v>
      </c>
      <c r="C64" s="1"/>
      <c r="D64" s="101">
        <v>27</v>
      </c>
      <c r="F64" s="100" t="s">
        <v>151</v>
      </c>
    </row>
    <row r="66" spans="1:9" ht="16" x14ac:dyDescent="0.2">
      <c r="A66" s="1" t="s">
        <v>141</v>
      </c>
      <c r="B66" s="146" t="s">
        <v>144</v>
      </c>
      <c r="C66" s="146"/>
      <c r="D66" s="146"/>
      <c r="E66" s="146"/>
      <c r="F66" s="146"/>
      <c r="G66" s="146"/>
      <c r="H66" s="146"/>
      <c r="I66" s="146"/>
    </row>
    <row r="67" spans="1:9" ht="16" customHeight="1" x14ac:dyDescent="0.2">
      <c r="A67" s="1" t="s">
        <v>142</v>
      </c>
      <c r="B67" s="146"/>
      <c r="C67" s="146"/>
      <c r="D67" s="146"/>
      <c r="E67" s="146"/>
      <c r="F67" s="146"/>
      <c r="G67" s="146"/>
      <c r="H67" s="146"/>
      <c r="I67" s="146"/>
    </row>
    <row r="68" spans="1:9" ht="16" thickBot="1" x14ac:dyDescent="0.25"/>
    <row r="69" spans="1:9" ht="16" x14ac:dyDescent="0.2">
      <c r="A69" s="132" t="s">
        <v>17</v>
      </c>
      <c r="B69" s="155" t="s">
        <v>152</v>
      </c>
      <c r="C69" s="156"/>
      <c r="D69" s="156"/>
      <c r="E69" s="156"/>
      <c r="F69" s="156"/>
      <c r="G69" s="156"/>
      <c r="H69" s="156"/>
      <c r="I69" s="157"/>
    </row>
    <row r="70" spans="1:9" ht="15" customHeight="1" x14ac:dyDescent="0.2">
      <c r="B70" s="158"/>
      <c r="C70" s="159"/>
      <c r="D70" s="159"/>
      <c r="E70" s="159"/>
      <c r="F70" s="159"/>
      <c r="G70" s="159"/>
      <c r="H70" s="159"/>
      <c r="I70" s="160"/>
    </row>
    <row r="71" spans="1:9" ht="36" customHeight="1" thickBot="1" x14ac:dyDescent="0.25">
      <c r="B71" s="161"/>
      <c r="C71" s="162"/>
      <c r="D71" s="162"/>
      <c r="E71" s="162"/>
      <c r="F71" s="162"/>
      <c r="G71" s="162"/>
      <c r="H71" s="162"/>
      <c r="I71" s="163"/>
    </row>
  </sheetData>
  <mergeCells count="7">
    <mergeCell ref="B69:I71"/>
    <mergeCell ref="B27:I28"/>
    <mergeCell ref="B47:I48"/>
    <mergeCell ref="B50:I51"/>
    <mergeCell ref="B57:I59"/>
    <mergeCell ref="B61:I62"/>
    <mergeCell ref="B66:I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76E7B-A251-BD4B-9DCD-3E24FB52D21B}">
  <dimension ref="A1:L87"/>
  <sheetViews>
    <sheetView tabSelected="1" zoomScale="126" zoomScaleNormal="126" workbookViewId="0"/>
  </sheetViews>
  <sheetFormatPr baseColWidth="10" defaultRowHeight="16" x14ac:dyDescent="0.2"/>
  <cols>
    <col min="1" max="2" width="10.83203125" style="2"/>
    <col min="3" max="4" width="13.1640625" style="2" customWidth="1"/>
    <col min="5" max="6" width="11" style="2" bestFit="1" customWidth="1"/>
    <col min="7" max="7" width="14.83203125" style="2" customWidth="1"/>
    <col min="8" max="8" width="10.83203125" style="2"/>
    <col min="9" max="9" width="3.33203125" style="2" customWidth="1"/>
    <col min="10" max="10" width="10.83203125" style="2"/>
    <col min="11" max="11" width="11.83203125" style="2" bestFit="1" customWidth="1"/>
    <col min="12" max="14" width="10.83203125" style="2"/>
    <col min="15" max="15" width="11.83203125" style="2" bestFit="1" customWidth="1"/>
    <col min="16" max="16384" width="10.83203125" style="2"/>
  </cols>
  <sheetData>
    <row r="1" spans="1:8" x14ac:dyDescent="0.2">
      <c r="A1" s="3" t="s">
        <v>5</v>
      </c>
      <c r="B1" s="1"/>
      <c r="C1" s="1"/>
      <c r="D1" s="1"/>
      <c r="E1" s="1"/>
      <c r="F1" s="1"/>
      <c r="G1" s="1"/>
      <c r="H1" s="1"/>
    </row>
    <row r="2" spans="1:8" x14ac:dyDescent="0.2">
      <c r="A2" s="1" t="s">
        <v>153</v>
      </c>
      <c r="B2" s="1"/>
      <c r="C2" s="1"/>
      <c r="D2" s="1"/>
      <c r="E2" s="1"/>
      <c r="F2" s="1"/>
      <c r="G2" s="1"/>
      <c r="H2" s="1"/>
    </row>
    <row r="3" spans="1:8" x14ac:dyDescent="0.2">
      <c r="A3" s="3" t="s">
        <v>154</v>
      </c>
      <c r="B3" s="1"/>
      <c r="C3" s="1"/>
      <c r="D3" s="1"/>
      <c r="E3" s="1"/>
      <c r="F3" s="1"/>
      <c r="G3" s="1"/>
      <c r="H3" s="1"/>
    </row>
    <row r="4" spans="1:8" x14ac:dyDescent="0.2">
      <c r="A4" s="6" t="s">
        <v>155</v>
      </c>
      <c r="B4" s="1"/>
      <c r="C4" s="1"/>
      <c r="D4" s="1"/>
      <c r="E4" s="1"/>
      <c r="F4" s="1"/>
      <c r="G4" s="1"/>
      <c r="H4" s="1"/>
    </row>
    <row r="5" spans="1:8" x14ac:dyDescent="0.2">
      <c r="A5" s="96" t="s">
        <v>36</v>
      </c>
      <c r="B5" s="1" t="s">
        <v>180</v>
      </c>
      <c r="C5" s="1"/>
      <c r="D5" s="1"/>
      <c r="E5" s="1"/>
      <c r="F5" s="1"/>
      <c r="G5" s="1"/>
      <c r="H5" s="1"/>
    </row>
    <row r="6" spans="1:8" x14ac:dyDescent="0.2">
      <c r="A6" s="96" t="s">
        <v>37</v>
      </c>
      <c r="B6" s="1" t="s">
        <v>165</v>
      </c>
      <c r="C6" s="1"/>
      <c r="D6" s="1"/>
      <c r="E6" s="1"/>
      <c r="F6" s="1"/>
      <c r="G6" s="1"/>
      <c r="H6" s="1"/>
    </row>
    <row r="7" spans="1:8" x14ac:dyDescent="0.2">
      <c r="A7" s="96" t="s">
        <v>174</v>
      </c>
      <c r="B7" s="1" t="s">
        <v>166</v>
      </c>
      <c r="C7" s="1"/>
      <c r="D7" s="1"/>
      <c r="E7" s="1"/>
      <c r="F7" s="1"/>
      <c r="G7" s="1"/>
      <c r="H7" s="1"/>
    </row>
    <row r="8" spans="1:8" x14ac:dyDescent="0.2">
      <c r="A8" s="96" t="s">
        <v>173</v>
      </c>
      <c r="B8" s="1" t="s">
        <v>202</v>
      </c>
      <c r="C8" s="1"/>
      <c r="D8" s="1"/>
      <c r="E8" s="1"/>
      <c r="F8" s="1"/>
      <c r="G8" s="1"/>
      <c r="H8" s="1"/>
    </row>
    <row r="9" spans="1:8" x14ac:dyDescent="0.2">
      <c r="A9" s="96" t="s">
        <v>175</v>
      </c>
      <c r="B9" s="1" t="s">
        <v>167</v>
      </c>
      <c r="C9" s="1"/>
      <c r="D9" s="1"/>
      <c r="E9" s="1"/>
      <c r="F9" s="1"/>
      <c r="G9" s="1"/>
      <c r="H9" s="1"/>
    </row>
    <row r="10" spans="1:8" x14ac:dyDescent="0.2">
      <c r="A10" s="96" t="s">
        <v>176</v>
      </c>
      <c r="B10" s="1" t="s">
        <v>168</v>
      </c>
      <c r="C10" s="1"/>
      <c r="D10" s="1"/>
      <c r="E10" s="1"/>
      <c r="F10" s="1"/>
      <c r="G10" s="1"/>
      <c r="H10" s="1"/>
    </row>
    <row r="11" spans="1:8" x14ac:dyDescent="0.2">
      <c r="A11" s="96" t="s">
        <v>177</v>
      </c>
      <c r="B11" s="1" t="s">
        <v>169</v>
      </c>
      <c r="C11" s="1"/>
      <c r="D11" s="1"/>
      <c r="E11" s="1"/>
      <c r="F11" s="1"/>
      <c r="G11" s="1"/>
      <c r="H11" s="1"/>
    </row>
    <row r="12" spans="1:8" x14ac:dyDescent="0.2">
      <c r="A12" s="96" t="s">
        <v>178</v>
      </c>
      <c r="B12" s="1" t="s">
        <v>170</v>
      </c>
      <c r="C12" s="1"/>
      <c r="D12" s="1"/>
      <c r="E12" s="1"/>
      <c r="F12" s="1"/>
      <c r="G12" s="1"/>
      <c r="H12" s="1"/>
    </row>
    <row r="13" spans="1:8" x14ac:dyDescent="0.2">
      <c r="A13" s="96" t="s">
        <v>179</v>
      </c>
      <c r="B13" s="1" t="s">
        <v>171</v>
      </c>
      <c r="C13" s="1"/>
      <c r="D13" s="1"/>
      <c r="E13" s="1"/>
      <c r="F13" s="1"/>
      <c r="G13" s="1"/>
      <c r="H13" s="1"/>
    </row>
    <row r="14" spans="1:8" x14ac:dyDescent="0.2">
      <c r="A14" s="96" t="s">
        <v>203</v>
      </c>
      <c r="B14" s="1" t="s">
        <v>204</v>
      </c>
      <c r="C14" s="1"/>
      <c r="D14" s="1"/>
      <c r="E14" s="1"/>
      <c r="F14" s="1"/>
      <c r="G14" s="1"/>
      <c r="H14" s="1"/>
    </row>
    <row r="15" spans="1:8" x14ac:dyDescent="0.2">
      <c r="A15" s="96"/>
      <c r="B15" s="1"/>
      <c r="C15" s="1"/>
      <c r="D15" s="1"/>
      <c r="E15" s="1"/>
      <c r="F15" s="1"/>
      <c r="G15" s="1"/>
      <c r="H15" s="1"/>
    </row>
    <row r="16" spans="1:8" x14ac:dyDescent="0.2">
      <c r="A16" s="1"/>
      <c r="B16" s="173" t="s">
        <v>194</v>
      </c>
      <c r="C16" s="173"/>
      <c r="D16" s="182">
        <v>1.7000000000000001E-2</v>
      </c>
      <c r="E16" s="1"/>
      <c r="F16" s="1"/>
      <c r="G16" s="1"/>
      <c r="H16" s="1"/>
    </row>
    <row r="17" spans="1:8" x14ac:dyDescent="0.2">
      <c r="A17" s="1"/>
      <c r="B17" s="173" t="s">
        <v>195</v>
      </c>
      <c r="C17" s="173"/>
      <c r="D17" s="182">
        <v>0.05</v>
      </c>
      <c r="E17" s="1"/>
      <c r="F17" s="1"/>
      <c r="G17" s="1"/>
      <c r="H17" s="1"/>
    </row>
    <row r="18" spans="1:8" x14ac:dyDescent="0.2">
      <c r="A18" s="1"/>
      <c r="B18" s="1"/>
      <c r="C18" s="1"/>
      <c r="D18" s="1"/>
      <c r="E18" s="1"/>
      <c r="F18" s="1"/>
      <c r="G18" s="1"/>
      <c r="H18" s="1"/>
    </row>
    <row r="20" spans="1:8" x14ac:dyDescent="0.2">
      <c r="A20" s="90" t="s">
        <v>172</v>
      </c>
      <c r="B20" s="146" t="s">
        <v>164</v>
      </c>
      <c r="C20" s="146"/>
      <c r="D20" s="146"/>
      <c r="E20" s="146"/>
      <c r="F20" s="146"/>
      <c r="G20" s="146"/>
      <c r="H20" s="146"/>
    </row>
    <row r="21" spans="1:8" x14ac:dyDescent="0.2">
      <c r="A21" s="183"/>
      <c r="B21" s="146"/>
      <c r="C21" s="146"/>
      <c r="D21" s="146"/>
      <c r="E21" s="146"/>
      <c r="F21" s="146"/>
      <c r="G21" s="146"/>
      <c r="H21" s="146"/>
    </row>
    <row r="22" spans="1:8" ht="17" thickBot="1" x14ac:dyDescent="0.25"/>
    <row r="23" spans="1:8" ht="17" thickBot="1" x14ac:dyDescent="0.25">
      <c r="B23" s="174" t="s">
        <v>47</v>
      </c>
      <c r="C23" s="175" t="s">
        <v>156</v>
      </c>
      <c r="D23" s="224" t="s">
        <v>163</v>
      </c>
    </row>
    <row r="24" spans="1:8" x14ac:dyDescent="0.2">
      <c r="B24" s="176">
        <v>54</v>
      </c>
      <c r="C24" s="177">
        <v>3.1859999999999999</v>
      </c>
      <c r="D24" s="180">
        <v>100000</v>
      </c>
    </row>
    <row r="25" spans="1:8" x14ac:dyDescent="0.2">
      <c r="B25" s="178">
        <f>B24+1</f>
        <v>55</v>
      </c>
      <c r="C25" s="179">
        <v>3.234</v>
      </c>
      <c r="D25" s="181">
        <f>$D$24*C25/$C$24</f>
        <v>101506.59133709982</v>
      </c>
    </row>
    <row r="26" spans="1:8" x14ac:dyDescent="0.2">
      <c r="B26" s="178">
        <f t="shared" ref="B26:B34" si="0">B25+1</f>
        <v>56</v>
      </c>
      <c r="C26" s="179">
        <v>3.282</v>
      </c>
      <c r="D26" s="181">
        <f>$D$24*C26/$C$24</f>
        <v>103013.18267419962</v>
      </c>
    </row>
    <row r="27" spans="1:8" x14ac:dyDescent="0.2">
      <c r="B27" s="178">
        <f t="shared" si="0"/>
        <v>57</v>
      </c>
      <c r="C27" s="179">
        <v>3.3319999999999999</v>
      </c>
      <c r="D27" s="181">
        <f>$D$24*C27/$C$24</f>
        <v>104582.54865034526</v>
      </c>
    </row>
    <row r="28" spans="1:8" x14ac:dyDescent="0.2">
      <c r="B28" s="178">
        <f t="shared" si="0"/>
        <v>58</v>
      </c>
      <c r="C28" s="179">
        <v>3.3820000000000001</v>
      </c>
      <c r="D28" s="181">
        <f>$D$24*C28/$C$24</f>
        <v>106151.91462649091</v>
      </c>
    </row>
    <row r="29" spans="1:8" x14ac:dyDescent="0.2">
      <c r="B29" s="178">
        <f t="shared" si="0"/>
        <v>59</v>
      </c>
      <c r="C29" s="179">
        <v>3.4319999999999999</v>
      </c>
      <c r="D29" s="181">
        <f>$D$24*C29/$C$24</f>
        <v>107721.28060263654</v>
      </c>
    </row>
    <row r="30" spans="1:8" x14ac:dyDescent="0.2">
      <c r="B30" s="178">
        <f t="shared" si="0"/>
        <v>60</v>
      </c>
      <c r="C30" s="179">
        <v>3.484</v>
      </c>
      <c r="D30" s="181">
        <f>$D$24*C30/$C$24</f>
        <v>109353.421217828</v>
      </c>
    </row>
    <row r="31" spans="1:8" x14ac:dyDescent="0.2">
      <c r="B31" s="178">
        <f t="shared" si="0"/>
        <v>61</v>
      </c>
      <c r="C31" s="179">
        <v>3.536</v>
      </c>
      <c r="D31" s="181">
        <f>$D$24*C31/$C$24</f>
        <v>110985.56183301946</v>
      </c>
    </row>
    <row r="32" spans="1:8" x14ac:dyDescent="0.2">
      <c r="B32" s="178">
        <f t="shared" si="0"/>
        <v>62</v>
      </c>
      <c r="C32" s="179">
        <v>3.589</v>
      </c>
      <c r="D32" s="181">
        <f>$D$24*C32/$C$24</f>
        <v>112649.08976773384</v>
      </c>
    </row>
    <row r="33" spans="1:12" x14ac:dyDescent="0.2">
      <c r="B33" s="178">
        <f t="shared" si="0"/>
        <v>63</v>
      </c>
      <c r="C33" s="179">
        <v>3.6429999999999998</v>
      </c>
      <c r="D33" s="181">
        <f>$D$24*C33/$C$24</f>
        <v>114344.00502197113</v>
      </c>
    </row>
    <row r="34" spans="1:12" x14ac:dyDescent="0.2">
      <c r="B34" s="178">
        <f t="shared" si="0"/>
        <v>64</v>
      </c>
      <c r="C34" s="179">
        <v>3.698</v>
      </c>
      <c r="D34" s="181">
        <f>$D$24*C34/$C$24</f>
        <v>116070.30759573133</v>
      </c>
    </row>
    <row r="35" spans="1:12" ht="17" thickBot="1" x14ac:dyDescent="0.25"/>
    <row r="36" spans="1:12" ht="17" thickBot="1" x14ac:dyDescent="0.25">
      <c r="A36" s="2" t="s">
        <v>17</v>
      </c>
      <c r="B36" s="184">
        <f>AVERAGE(D32:D34)</f>
        <v>114354.46746181209</v>
      </c>
    </row>
    <row r="38" spans="1:12" ht="16" customHeight="1" x14ac:dyDescent="0.2">
      <c r="A38" s="90" t="s">
        <v>187</v>
      </c>
      <c r="B38" s="146" t="s">
        <v>186</v>
      </c>
      <c r="C38" s="146"/>
      <c r="D38" s="146"/>
      <c r="E38" s="146"/>
      <c r="F38" s="146"/>
      <c r="G38" s="146"/>
      <c r="H38" s="146"/>
    </row>
    <row r="39" spans="1:12" x14ac:dyDescent="0.2">
      <c r="A39" s="183"/>
      <c r="B39" s="146"/>
      <c r="C39" s="146"/>
      <c r="D39" s="146"/>
      <c r="E39" s="146"/>
      <c r="F39" s="146"/>
      <c r="G39" s="146"/>
      <c r="H39" s="146"/>
    </row>
    <row r="40" spans="1:12" ht="17" thickBot="1" x14ac:dyDescent="0.25">
      <c r="J40" s="243" t="s">
        <v>207</v>
      </c>
      <c r="K40" s="244"/>
      <c r="L40" s="245"/>
    </row>
    <row r="41" spans="1:12" x14ac:dyDescent="0.2">
      <c r="B41" s="185" t="s">
        <v>181</v>
      </c>
      <c r="C41" s="246" t="s">
        <v>208</v>
      </c>
      <c r="D41" s="186" t="s">
        <v>182</v>
      </c>
      <c r="E41" s="187" t="s">
        <v>46</v>
      </c>
      <c r="F41" s="187"/>
      <c r="G41" s="188" t="s">
        <v>184</v>
      </c>
      <c r="I41" s="234"/>
      <c r="J41" s="240" t="s">
        <v>47</v>
      </c>
      <c r="K41" s="241" t="s">
        <v>157</v>
      </c>
      <c r="L41" s="242" t="s">
        <v>158</v>
      </c>
    </row>
    <row r="42" spans="1:12" ht="17" thickBot="1" x14ac:dyDescent="0.25">
      <c r="B42" s="189" t="s">
        <v>90</v>
      </c>
      <c r="C42" s="247" t="s">
        <v>206</v>
      </c>
      <c r="D42" s="190" t="s">
        <v>185</v>
      </c>
      <c r="E42" s="191" t="s">
        <v>206</v>
      </c>
      <c r="F42" s="191" t="s">
        <v>183</v>
      </c>
      <c r="G42" s="192" t="s">
        <v>205</v>
      </c>
      <c r="I42" s="209"/>
      <c r="J42" s="231">
        <v>55</v>
      </c>
      <c r="K42" s="233">
        <v>104687.73011077874</v>
      </c>
      <c r="L42" s="235">
        <v>0</v>
      </c>
    </row>
    <row r="43" spans="1:12" x14ac:dyDescent="0.2">
      <c r="B43" s="193">
        <v>60</v>
      </c>
      <c r="C43" s="195">
        <v>14.4414</v>
      </c>
      <c r="D43" s="194">
        <f>AVERAGE(D27:D29)</f>
        <v>106151.91462649091</v>
      </c>
      <c r="E43" s="196">
        <f>(1+int_rate)^(55-B43)</f>
        <v>0.78352616646845896</v>
      </c>
      <c r="F43" s="196">
        <f>L43/$K$42</f>
        <v>0.26675155075758161</v>
      </c>
      <c r="G43" s="197">
        <f>25*D43*alpha*C43*E43*F43</f>
        <v>136171.59256048276</v>
      </c>
      <c r="I43" s="209"/>
      <c r="J43" s="231">
        <v>60</v>
      </c>
      <c r="K43" s="233">
        <v>0</v>
      </c>
      <c r="L43" s="235">
        <v>27925.614352341399</v>
      </c>
    </row>
    <row r="44" spans="1:12" x14ac:dyDescent="0.2">
      <c r="B44" s="199">
        <v>60.5</v>
      </c>
      <c r="C44" s="201">
        <v>14.3149</v>
      </c>
      <c r="D44" s="200">
        <f>(0.5*D30+D29+D28+0.5*D27)/3</f>
        <v>106947.0600544047</v>
      </c>
      <c r="E44" s="202">
        <f>(1+int_rate)^(55-B44)</f>
        <v>0.7646432430136535</v>
      </c>
      <c r="F44" s="202">
        <f>L44/$K$42</f>
        <v>5.9104886472460788E-2</v>
      </c>
      <c r="G44" s="203">
        <f>25*D44*alpha*C44*E44*F44</f>
        <v>29405.484644387059</v>
      </c>
      <c r="I44" s="209"/>
      <c r="J44" s="231">
        <v>60</v>
      </c>
      <c r="K44" s="233">
        <v>0</v>
      </c>
      <c r="L44" s="235">
        <v>6187.556403257192</v>
      </c>
    </row>
    <row r="45" spans="1:12" x14ac:dyDescent="0.2">
      <c r="B45" s="199">
        <f>B44+1</f>
        <v>61.5</v>
      </c>
      <c r="C45" s="201">
        <v>14.055899999999999</v>
      </c>
      <c r="D45" s="200">
        <f>(0.5*D31+D30+D29+0.5*D28)/3</f>
        <v>108547.81335007324</v>
      </c>
      <c r="E45" s="202">
        <f>(1+int_rate)^(55-B45)</f>
        <v>0.72823166001300332</v>
      </c>
      <c r="F45" s="202">
        <f>L45/$K$42</f>
        <v>5.323518131425873E-2</v>
      </c>
      <c r="G45" s="203">
        <f>25*D45*alpha*C45*E45*F45</f>
        <v>25138.361171497567</v>
      </c>
      <c r="I45" s="209"/>
      <c r="J45" s="231">
        <f t="shared" ref="J45:J48" si="1">J44+1</f>
        <v>61</v>
      </c>
      <c r="K45" s="233">
        <v>0</v>
      </c>
      <c r="L45" s="235">
        <v>5573.070293825489</v>
      </c>
    </row>
    <row r="46" spans="1:12" x14ac:dyDescent="0.2">
      <c r="B46" s="199">
        <f t="shared" ref="B46:B48" si="2">B45+1</f>
        <v>62.5</v>
      </c>
      <c r="C46" s="201">
        <v>13.7889</v>
      </c>
      <c r="D46" s="200">
        <f>(0.5*D32+D31+D30+0.5*D29)/3</f>
        <v>110174.7227453442</v>
      </c>
      <c r="E46" s="202">
        <f t="shared" ref="E46:E49" si="3">(1+int_rate)^(55-B46)</f>
        <v>0.69355396191714602</v>
      </c>
      <c r="F46" s="202">
        <f>L46/$K$42</f>
        <v>4.7928340220317479E-2</v>
      </c>
      <c r="G46" s="203">
        <f>25*D46*alpha*C46*E46*F46</f>
        <v>21462.146981279369</v>
      </c>
      <c r="I46" s="209"/>
      <c r="J46" s="231">
        <f t="shared" si="1"/>
        <v>62</v>
      </c>
      <c r="K46" s="233">
        <v>0</v>
      </c>
      <c r="L46" s="235">
        <v>5017.5091456421778</v>
      </c>
    </row>
    <row r="47" spans="1:12" x14ac:dyDescent="0.2">
      <c r="B47" s="199">
        <f t="shared" si="2"/>
        <v>63.5</v>
      </c>
      <c r="C47" s="201">
        <v>13.5139</v>
      </c>
      <c r="D47" s="200">
        <f>(0.5*D33+D32+D31+0.5*D30)/3</f>
        <v>111827.78824021765</v>
      </c>
      <c r="E47" s="202">
        <f t="shared" si="3"/>
        <v>0.66052758277823431</v>
      </c>
      <c r="F47" s="202">
        <f>L47/$K$42</f>
        <v>4.3130233989456437E-2</v>
      </c>
      <c r="G47" s="203">
        <f>25*D47*alpha*C47*E47*F47</f>
        <v>18297.516124194772</v>
      </c>
      <c r="I47" s="209"/>
      <c r="J47" s="231">
        <f t="shared" si="1"/>
        <v>63</v>
      </c>
      <c r="K47" s="233">
        <v>0</v>
      </c>
      <c r="L47" s="235">
        <v>4515.2062955029514</v>
      </c>
    </row>
    <row r="48" spans="1:12" x14ac:dyDescent="0.2">
      <c r="B48" s="199">
        <f t="shared" si="2"/>
        <v>64.5</v>
      </c>
      <c r="C48" s="201">
        <v>13.231199999999999</v>
      </c>
      <c r="D48" s="200">
        <f>(0.5*D34+D33+D32+0.5*D31)/3</f>
        <v>113507.00983469345</v>
      </c>
      <c r="E48" s="202">
        <f t="shared" si="3"/>
        <v>0.62907388836022304</v>
      </c>
      <c r="F48" s="202">
        <f>L48/$K$42</f>
        <v>3.8791957042123168E-2</v>
      </c>
      <c r="G48" s="203">
        <f>25*D48*alpha*C48*E48*F48</f>
        <v>15575.93751430452</v>
      </c>
      <c r="I48" s="209"/>
      <c r="J48" s="231">
        <f t="shared" si="1"/>
        <v>64</v>
      </c>
      <c r="K48" s="233">
        <v>0</v>
      </c>
      <c r="L48" s="235">
        <v>4061.0419292947131</v>
      </c>
    </row>
    <row r="49" spans="1:12" ht="17" thickBot="1" x14ac:dyDescent="0.25">
      <c r="B49" s="204">
        <v>65</v>
      </c>
      <c r="C49" s="206">
        <v>13.087</v>
      </c>
      <c r="D49" s="205">
        <f>AVERAGE(D32:D34)</f>
        <v>114354.46746181209</v>
      </c>
      <c r="E49" s="207">
        <f t="shared" si="3"/>
        <v>0.61391325354075932</v>
      </c>
      <c r="F49" s="207">
        <f>L49/$K$42</f>
        <v>0.36764828612500144</v>
      </c>
      <c r="G49" s="208">
        <f>25*D49*alpha*C49*E49*F49</f>
        <v>143556.12379006227</v>
      </c>
      <c r="I49" s="209"/>
      <c r="J49" s="232">
        <v>65</v>
      </c>
      <c r="K49" s="236">
        <v>0</v>
      </c>
      <c r="L49" s="237">
        <v>38488.264553544512</v>
      </c>
    </row>
    <row r="50" spans="1:12" ht="17" thickBot="1" x14ac:dyDescent="0.25">
      <c r="B50" s="209"/>
      <c r="F50" s="2" t="s">
        <v>17</v>
      </c>
      <c r="G50" s="210">
        <f>SUM(G43:G49)</f>
        <v>389607.16278620833</v>
      </c>
      <c r="I50" s="209"/>
    </row>
    <row r="51" spans="1:12" x14ac:dyDescent="0.2">
      <c r="I51" s="209"/>
      <c r="J51" s="230"/>
      <c r="K51" s="233"/>
      <c r="L51" s="233"/>
    </row>
    <row r="52" spans="1:12" x14ac:dyDescent="0.2">
      <c r="A52" s="90" t="s">
        <v>134</v>
      </c>
      <c r="B52" s="146" t="s">
        <v>188</v>
      </c>
      <c r="C52" s="146"/>
      <c r="D52" s="146"/>
      <c r="E52" s="146"/>
      <c r="F52" s="146"/>
      <c r="G52" s="146"/>
      <c r="H52" s="146"/>
      <c r="I52" s="209"/>
    </row>
    <row r="53" spans="1:12" ht="17" thickBot="1" x14ac:dyDescent="0.25">
      <c r="I53" s="209"/>
    </row>
    <row r="54" spans="1:12" ht="17" thickBot="1" x14ac:dyDescent="0.25">
      <c r="A54" s="2" t="s">
        <v>17</v>
      </c>
      <c r="B54" s="184">
        <f>G50/25</f>
        <v>15584.286511448334</v>
      </c>
      <c r="C54" s="239" t="s">
        <v>191</v>
      </c>
      <c r="D54" s="239"/>
      <c r="E54" s="239"/>
      <c r="F54" s="239"/>
      <c r="G54" s="239"/>
      <c r="H54" s="239"/>
      <c r="I54" s="209"/>
    </row>
    <row r="55" spans="1:12" x14ac:dyDescent="0.2">
      <c r="C55" s="239"/>
      <c r="D55" s="239"/>
      <c r="E55" s="239"/>
      <c r="F55" s="239"/>
      <c r="G55" s="239"/>
      <c r="H55" s="239"/>
      <c r="I55" s="209"/>
    </row>
    <row r="56" spans="1:12" x14ac:dyDescent="0.2">
      <c r="I56" s="209"/>
    </row>
    <row r="57" spans="1:12" x14ac:dyDescent="0.2">
      <c r="A57" s="90" t="s">
        <v>189</v>
      </c>
      <c r="B57" s="146" t="s">
        <v>190</v>
      </c>
      <c r="C57" s="146"/>
      <c r="D57" s="146"/>
      <c r="E57" s="146"/>
      <c r="F57" s="146"/>
      <c r="G57" s="146"/>
      <c r="H57" s="146"/>
      <c r="I57" s="83"/>
    </row>
    <row r="58" spans="1:12" x14ac:dyDescent="0.2">
      <c r="A58" s="183"/>
      <c r="B58" s="146"/>
      <c r="C58" s="146"/>
      <c r="D58" s="146"/>
      <c r="E58" s="146"/>
      <c r="F58" s="146"/>
      <c r="G58" s="146"/>
      <c r="H58" s="146"/>
      <c r="I58" s="211"/>
    </row>
    <row r="59" spans="1:12" ht="17" thickBot="1" x14ac:dyDescent="0.25"/>
    <row r="60" spans="1:12" x14ac:dyDescent="0.2">
      <c r="A60" s="2" t="s">
        <v>17</v>
      </c>
      <c r="B60" s="164" t="s">
        <v>193</v>
      </c>
      <c r="C60" s="165"/>
      <c r="D60" s="165"/>
      <c r="E60" s="165"/>
      <c r="F60" s="165"/>
      <c r="G60" s="165"/>
      <c r="H60" s="166"/>
    </row>
    <row r="61" spans="1:12" x14ac:dyDescent="0.2">
      <c r="B61" s="167"/>
      <c r="C61" s="168"/>
      <c r="D61" s="168"/>
      <c r="E61" s="168"/>
      <c r="F61" s="168"/>
      <c r="G61" s="168"/>
      <c r="H61" s="169"/>
    </row>
    <row r="62" spans="1:12" x14ac:dyDescent="0.2">
      <c r="B62" s="167"/>
      <c r="C62" s="168"/>
      <c r="D62" s="168"/>
      <c r="E62" s="168"/>
      <c r="F62" s="168"/>
      <c r="G62" s="168"/>
      <c r="H62" s="169"/>
    </row>
    <row r="63" spans="1:12" ht="17" thickBot="1" x14ac:dyDescent="0.25">
      <c r="B63" s="170"/>
      <c r="C63" s="171"/>
      <c r="D63" s="171"/>
      <c r="E63" s="171"/>
      <c r="F63" s="171"/>
      <c r="G63" s="171"/>
      <c r="H63" s="172"/>
    </row>
    <row r="65" spans="1:8" x14ac:dyDescent="0.2">
      <c r="A65" s="90" t="s">
        <v>192</v>
      </c>
      <c r="B65" s="146" t="s">
        <v>196</v>
      </c>
      <c r="C65" s="146"/>
      <c r="D65" s="146"/>
      <c r="E65" s="146"/>
      <c r="F65" s="146"/>
      <c r="G65" s="146"/>
      <c r="H65" s="146"/>
    </row>
    <row r="66" spans="1:8" ht="16" customHeight="1" thickBot="1" x14ac:dyDescent="0.25"/>
    <row r="67" spans="1:8" ht="17" thickBot="1" x14ac:dyDescent="0.25">
      <c r="A67" s="2" t="s">
        <v>17</v>
      </c>
      <c r="B67" s="103" t="s">
        <v>90</v>
      </c>
      <c r="C67" s="224" t="s">
        <v>199</v>
      </c>
    </row>
    <row r="68" spans="1:8" x14ac:dyDescent="0.2">
      <c r="B68" s="223">
        <v>60</v>
      </c>
      <c r="C68" s="212">
        <f>1-(1+int_rate)^(B68-65)*$C$49/C43</f>
        <v>0.28995755670691747</v>
      </c>
    </row>
    <row r="69" spans="1:8" x14ac:dyDescent="0.2">
      <c r="B69" s="198">
        <v>60.5</v>
      </c>
      <c r="C69" s="213">
        <f>1-(1+int_rate)^(B69-65)*$C$49/C44</f>
        <v>0.26599344547389991</v>
      </c>
    </row>
    <row r="70" spans="1:8" x14ac:dyDescent="0.2">
      <c r="B70" s="198">
        <f t="shared" ref="B70:B73" si="4">B69+1</f>
        <v>61.5</v>
      </c>
      <c r="C70" s="213">
        <f>1-(1+int_rate)^(B70-65)*$C$49/C45</f>
        <v>0.21509174448061308</v>
      </c>
    </row>
    <row r="71" spans="1:8" x14ac:dyDescent="0.2">
      <c r="B71" s="198">
        <f t="shared" si="4"/>
        <v>62.5</v>
      </c>
      <c r="C71" s="213">
        <f>1-(1+int_rate)^(B71-65)*$C$49/C46</f>
        <v>0.15988791374274236</v>
      </c>
    </row>
    <row r="72" spans="1:8" x14ac:dyDescent="0.2">
      <c r="B72" s="198">
        <f t="shared" si="4"/>
        <v>63.5</v>
      </c>
      <c r="C72" s="213">
        <f>1-(1+int_rate)^(B72-65)*$C$49/C47</f>
        <v>9.9931727813411642E-2</v>
      </c>
    </row>
    <row r="73" spans="1:8" x14ac:dyDescent="0.2">
      <c r="B73" s="198">
        <f t="shared" si="4"/>
        <v>64.5</v>
      </c>
      <c r="C73" s="213">
        <f>1-(1+int_rate)^(B73-65)*$C$49/C48</f>
        <v>3.4735756796250294E-2</v>
      </c>
    </row>
    <row r="74" spans="1:8" ht="17" thickBot="1" x14ac:dyDescent="0.25">
      <c r="B74" s="107">
        <v>65</v>
      </c>
      <c r="C74" s="214">
        <f>1-(1+int_rate)^(B74-65)*$C$49/C49</f>
        <v>0</v>
      </c>
    </row>
    <row r="76" spans="1:8" x14ac:dyDescent="0.2">
      <c r="A76" s="90" t="s">
        <v>198</v>
      </c>
      <c r="B76" s="146" t="s">
        <v>197</v>
      </c>
      <c r="C76" s="146"/>
      <c r="D76" s="146"/>
      <c r="E76" s="146"/>
      <c r="F76" s="146"/>
      <c r="G76" s="146"/>
      <c r="H76" s="146"/>
    </row>
    <row r="77" spans="1:8" x14ac:dyDescent="0.2">
      <c r="A77" s="183"/>
      <c r="B77" s="146"/>
      <c r="C77" s="146"/>
      <c r="D77" s="146"/>
      <c r="E77" s="146"/>
      <c r="F77" s="146"/>
      <c r="G77" s="146"/>
      <c r="H77" s="146"/>
    </row>
    <row r="78" spans="1:8" ht="17" thickBot="1" x14ac:dyDescent="0.25"/>
    <row r="79" spans="1:8" x14ac:dyDescent="0.2">
      <c r="A79" s="2" t="s">
        <v>17</v>
      </c>
      <c r="B79" s="225"/>
      <c r="C79" s="226" t="s">
        <v>200</v>
      </c>
      <c r="D79" s="227"/>
    </row>
    <row r="80" spans="1:8" ht="17" thickBot="1" x14ac:dyDescent="0.25">
      <c r="B80" s="228" t="s">
        <v>90</v>
      </c>
      <c r="C80" s="191" t="s">
        <v>159</v>
      </c>
      <c r="D80" s="229" t="s">
        <v>160</v>
      </c>
      <c r="E80" s="238" t="s">
        <v>201</v>
      </c>
      <c r="F80" s="238" t="s">
        <v>161</v>
      </c>
      <c r="G80" s="238" t="s">
        <v>162</v>
      </c>
    </row>
    <row r="81" spans="2:7" x14ac:dyDescent="0.2">
      <c r="B81" s="223">
        <v>60</v>
      </c>
      <c r="C81" s="215">
        <f>F81*(1-C68)/G81</f>
        <v>0.35684598107248683</v>
      </c>
      <c r="D81" s="216">
        <f>F81/G81</f>
        <v>0.50256993006993012</v>
      </c>
      <c r="E81" s="2">
        <f>25+(B81-55)</f>
        <v>30</v>
      </c>
      <c r="F81" s="217">
        <f>E81*D43*alpha</f>
        <v>54137.47645951037</v>
      </c>
      <c r="G81" s="217">
        <f>D29</f>
        <v>107721.28060263654</v>
      </c>
    </row>
    <row r="82" spans="2:7" x14ac:dyDescent="0.2">
      <c r="B82" s="198">
        <v>60.5</v>
      </c>
      <c r="C82" s="218">
        <f t="shared" ref="C82:C86" si="5">F82*(1-C69)/G82</f>
        <v>0.37500609964234288</v>
      </c>
      <c r="D82" s="219">
        <f t="shared" ref="D82:D87" si="6">F82/G82</f>
        <v>0.51090293040293044</v>
      </c>
      <c r="E82" s="2">
        <f t="shared" ref="E82:E87" si="7">25+(B82-55)</f>
        <v>30.5</v>
      </c>
      <c r="F82" s="217">
        <f>E82*D44*alpha</f>
        <v>55452.050638208842</v>
      </c>
      <c r="G82" s="217">
        <f>0.5*D30+0.5*D29</f>
        <v>108537.35091023227</v>
      </c>
    </row>
    <row r="83" spans="2:7" x14ac:dyDescent="0.2">
      <c r="B83" s="198">
        <f t="shared" ref="B83:B86" si="8">B82+1</f>
        <v>61.5</v>
      </c>
      <c r="C83" s="220">
        <f>F83*(1-C70)/G83</f>
        <v>0.41413134827804415</v>
      </c>
      <c r="D83" s="213">
        <f t="shared" si="6"/>
        <v>0.52761752136752149</v>
      </c>
      <c r="E83" s="2">
        <f t="shared" si="7"/>
        <v>31.5</v>
      </c>
      <c r="F83" s="217">
        <f>E83*D45*alpha</f>
        <v>58127.354048964226</v>
      </c>
      <c r="G83" s="217">
        <f>0.5*D31+0.5*D30</f>
        <v>110169.49152542373</v>
      </c>
    </row>
    <row r="84" spans="2:7" x14ac:dyDescent="0.2">
      <c r="B84" s="198">
        <f t="shared" si="8"/>
        <v>62.5</v>
      </c>
      <c r="C84" s="220">
        <f t="shared" si="5"/>
        <v>0.45734336179587909</v>
      </c>
      <c r="D84" s="213">
        <f t="shared" si="6"/>
        <v>0.5443837426900584</v>
      </c>
      <c r="E84" s="2">
        <f t="shared" si="7"/>
        <v>32.5</v>
      </c>
      <c r="F84" s="217">
        <f>E84*D46*alpha</f>
        <v>60871.534316802674</v>
      </c>
      <c r="G84" s="217">
        <f>0.5*D32+0.5*D31</f>
        <v>111817.32580037665</v>
      </c>
    </row>
    <row r="85" spans="2:7" ht="16" customHeight="1" x14ac:dyDescent="0.2">
      <c r="B85" s="198">
        <f t="shared" si="8"/>
        <v>63.5</v>
      </c>
      <c r="C85" s="220">
        <f t="shared" si="5"/>
        <v>0.50505219899319576</v>
      </c>
      <c r="D85" s="213">
        <f t="shared" si="6"/>
        <v>0.56112654406342199</v>
      </c>
      <c r="E85" s="2">
        <f t="shared" si="7"/>
        <v>33.5</v>
      </c>
      <c r="F85" s="217">
        <f>E85*D47*alpha</f>
        <v>63685.92540280395</v>
      </c>
      <c r="G85" s="217">
        <f>0.5*D33+0.5*D32</f>
        <v>113496.54739485247</v>
      </c>
    </row>
    <row r="86" spans="2:7" x14ac:dyDescent="0.2">
      <c r="B86" s="198">
        <f t="shared" si="8"/>
        <v>64.5</v>
      </c>
      <c r="C86" s="220">
        <f t="shared" si="5"/>
        <v>0.5577729660586207</v>
      </c>
      <c r="D86" s="213">
        <f t="shared" si="6"/>
        <v>0.57784484402669933</v>
      </c>
      <c r="E86" s="2">
        <f t="shared" si="7"/>
        <v>34.5</v>
      </c>
      <c r="F86" s="217">
        <f>E86*D48*alpha</f>
        <v>66571.861268047709</v>
      </c>
      <c r="G86" s="217">
        <f>0.5*D34+0.5*D33</f>
        <v>115207.15630885123</v>
      </c>
    </row>
    <row r="87" spans="2:7" ht="17" thickBot="1" x14ac:dyDescent="0.25">
      <c r="B87" s="107">
        <v>65</v>
      </c>
      <c r="C87" s="221">
        <f t="shared" ref="C87" si="9">F87*(1-C75)/G87</f>
        <v>0.58620425455201008</v>
      </c>
      <c r="D87" s="222">
        <f t="shared" si="6"/>
        <v>0.58620425455201008</v>
      </c>
      <c r="E87" s="2">
        <f t="shared" si="7"/>
        <v>35</v>
      </c>
      <c r="F87" s="217">
        <f>E87*D49*alpha</f>
        <v>68040.908139778199</v>
      </c>
      <c r="G87" s="217">
        <f>D34</f>
        <v>116070.30759573133</v>
      </c>
    </row>
  </sheetData>
  <mergeCells count="12">
    <mergeCell ref="B65:H65"/>
    <mergeCell ref="J40:L40"/>
    <mergeCell ref="C54:H55"/>
    <mergeCell ref="C79:D79"/>
    <mergeCell ref="B57:H58"/>
    <mergeCell ref="B52:H52"/>
    <mergeCell ref="B60:H63"/>
    <mergeCell ref="B76:H77"/>
    <mergeCell ref="B16:C16"/>
    <mergeCell ref="B17:C17"/>
    <mergeCell ref="B20:H21"/>
    <mergeCell ref="B38:H39"/>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Question 57</vt:lpstr>
      <vt:lpstr>Question 58</vt:lpstr>
      <vt:lpstr>Question 59</vt:lpstr>
      <vt:lpstr>Question 60</vt:lpstr>
      <vt:lpstr>A</vt:lpstr>
      <vt:lpstr>alpha</vt:lpstr>
      <vt:lpstr>B</vt:lpstr>
      <vt:lpstr>cc</vt:lpstr>
      <vt:lpstr>DB</vt:lpstr>
      <vt:lpstr>h</vt:lpstr>
      <vt:lpstr>I_12</vt:lpstr>
      <vt:lpstr>i_h</vt:lpstr>
      <vt:lpstr>i_j</vt:lpstr>
      <vt:lpstr>i_t</vt:lpstr>
      <vt:lpstr>int_rate</vt:lpstr>
      <vt:lpstr>Iss_exp</vt:lpstr>
      <vt:lpstr>Maint_exp</vt:lpstr>
      <vt:lpstr>Pr_exp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Groendyke</dc:creator>
  <cp:lastModifiedBy>Kenneth Zhou</cp:lastModifiedBy>
  <cp:lastPrinted>2024-01-30T22:06:02Z</cp:lastPrinted>
  <dcterms:created xsi:type="dcterms:W3CDTF">2023-05-22T13:28:44Z</dcterms:created>
  <dcterms:modified xsi:type="dcterms:W3CDTF">2025-03-09T04:28:59Z</dcterms:modified>
</cp:coreProperties>
</file>